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RADM\Transparencia\Gestao_de_Pessoas\4-Folhas_de_Pagamento\2017\"/>
    </mc:Choice>
  </mc:AlternateContent>
  <bookViews>
    <workbookView xWindow="480" yWindow="660" windowWidth="19875" windowHeight="7410"/>
  </bookViews>
  <sheets>
    <sheet name="Folha 012017" sheetId="2" r:id="rId1"/>
  </sheets>
  <definedNames>
    <definedName name="_xlnm.Print_Titles" localSheetId="0">'Folha 012017'!$A:$C</definedName>
  </definedNames>
  <calcPr calcId="162913"/>
</workbook>
</file>

<file path=xl/calcChain.xml><?xml version="1.0" encoding="utf-8"?>
<calcChain xmlns="http://schemas.openxmlformats.org/spreadsheetml/2006/main">
  <c r="K22" i="2" l="1"/>
  <c r="Q26" i="2"/>
  <c r="D36" i="2" l="1"/>
  <c r="D29" i="2"/>
  <c r="V22" i="2"/>
  <c r="L22" i="2"/>
  <c r="F20" i="2"/>
  <c r="D20" i="2"/>
  <c r="X22" i="2" l="1"/>
  <c r="S10" i="2"/>
  <c r="M10" i="2"/>
  <c r="F10" i="2"/>
  <c r="G10" i="2"/>
  <c r="D10" i="2"/>
  <c r="Q7" i="2"/>
  <c r="D7" i="2"/>
  <c r="S35" i="2"/>
  <c r="Q35" i="2"/>
  <c r="N35" i="2"/>
  <c r="M35" i="2"/>
  <c r="G35" i="2"/>
  <c r="F35" i="2"/>
  <c r="D35" i="2"/>
  <c r="N27" i="2"/>
  <c r="S27" i="2"/>
  <c r="M27" i="2"/>
  <c r="F27" i="2"/>
  <c r="G27" i="2"/>
  <c r="D27" i="2"/>
  <c r="F21" i="2"/>
  <c r="D21" i="2"/>
  <c r="N9" i="2"/>
  <c r="M9" i="2"/>
  <c r="E9" i="2"/>
  <c r="D9" i="2"/>
  <c r="F33" i="2"/>
  <c r="D33" i="2"/>
  <c r="M24" i="2"/>
  <c r="G24" i="2"/>
  <c r="D24" i="2"/>
  <c r="F14" i="2"/>
  <c r="D14" i="2"/>
  <c r="F11" i="2"/>
  <c r="D11" i="2"/>
  <c r="D34" i="2" l="1"/>
  <c r="F34" i="2"/>
  <c r="N8" i="2"/>
  <c r="S8" i="2"/>
  <c r="M8" i="2"/>
  <c r="G8" i="2"/>
  <c r="N19" i="2"/>
  <c r="M19" i="2"/>
  <c r="G19" i="2"/>
  <c r="D19" i="2"/>
  <c r="Q25" i="2"/>
  <c r="L16" i="2" l="1"/>
  <c r="V16" i="2" l="1"/>
  <c r="X16" i="2" l="1"/>
  <c r="V26" i="2" l="1"/>
  <c r="R38" i="2" l="1"/>
  <c r="S38" i="2"/>
  <c r="T38" i="2"/>
  <c r="V31" i="2" l="1"/>
  <c r="V32" i="2"/>
  <c r="V15" i="2" l="1"/>
  <c r="L15" i="2"/>
  <c r="X15" i="2" l="1"/>
  <c r="U38" i="2" l="1"/>
  <c r="E38" i="2" l="1"/>
  <c r="H38" i="2"/>
  <c r="I38" i="2"/>
  <c r="J38" i="2"/>
  <c r="K38" i="2"/>
  <c r="L12" i="2" l="1"/>
  <c r="G38" i="2" l="1"/>
  <c r="L6" i="2"/>
  <c r="V6" i="2" l="1"/>
  <c r="X6" i="2" s="1"/>
  <c r="F38" i="2" l="1"/>
  <c r="L7" i="2" l="1"/>
  <c r="L11" i="2"/>
  <c r="L13" i="2"/>
  <c r="L18" i="2"/>
  <c r="L19" i="2"/>
  <c r="L21" i="2"/>
  <c r="L23" i="2"/>
  <c r="L26" i="2"/>
  <c r="X26" i="2" s="1"/>
  <c r="L29" i="2"/>
  <c r="L31" i="2"/>
  <c r="L32" i="2"/>
  <c r="L36" i="2"/>
  <c r="L5" i="2"/>
  <c r="AA38" i="2"/>
  <c r="X31" i="2" l="1"/>
  <c r="V10" i="2" l="1"/>
  <c r="V12" i="2"/>
  <c r="X12" i="2" s="1"/>
  <c r="V13" i="2"/>
  <c r="V14" i="2"/>
  <c r="V18" i="2"/>
  <c r="V19" i="2"/>
  <c r="V20" i="2"/>
  <c r="V21" i="2"/>
  <c r="V23" i="2"/>
  <c r="V25" i="2"/>
  <c r="V27" i="2"/>
  <c r="V30" i="2"/>
  <c r="X32" i="2"/>
  <c r="V33" i="2"/>
  <c r="P38" i="2"/>
  <c r="O38" i="2"/>
  <c r="L35" i="2"/>
  <c r="L30" i="2"/>
  <c r="Q38" i="2"/>
  <c r="L28" i="2"/>
  <c r="V17" i="2"/>
  <c r="L17" i="2"/>
  <c r="L9" i="2"/>
  <c r="X17" i="2" l="1"/>
  <c r="X23" i="2"/>
  <c r="X21" i="2"/>
  <c r="X13" i="2"/>
  <c r="X19" i="2"/>
  <c r="X18" i="2"/>
  <c r="L10" i="2"/>
  <c r="X10" i="2" s="1"/>
  <c r="L14" i="2"/>
  <c r="L27" i="2"/>
  <c r="L24" i="2"/>
  <c r="M38" i="2"/>
  <c r="L20" i="2"/>
  <c r="L34" i="2"/>
  <c r="L33" i="2"/>
  <c r="L25" i="2"/>
  <c r="L8" i="2"/>
  <c r="X30" i="2"/>
  <c r="N38" i="2"/>
  <c r="W38" i="2"/>
  <c r="D38" i="2"/>
  <c r="L38" i="2" l="1"/>
  <c r="Y38" i="2"/>
  <c r="X20" i="2"/>
  <c r="X33" i="2"/>
  <c r="X14" i="2"/>
  <c r="X25" i="2"/>
  <c r="X27" i="2"/>
  <c r="Z38" i="2" l="1"/>
  <c r="V28" i="2" l="1"/>
  <c r="X28" i="2" s="1"/>
  <c r="V8" i="2"/>
  <c r="X8" i="2" s="1"/>
  <c r="V35" i="2"/>
  <c r="X35" i="2" s="1"/>
  <c r="V36" i="2"/>
  <c r="X36" i="2" s="1"/>
  <c r="V29" i="2"/>
  <c r="X29" i="2" s="1"/>
  <c r="V11" i="2"/>
  <c r="X11" i="2" s="1"/>
  <c r="V9" i="2"/>
  <c r="V34" i="2"/>
  <c r="X34" i="2" s="1"/>
  <c r="V38" i="2"/>
  <c r="V5" i="2"/>
  <c r="X5" i="2" s="1"/>
  <c r="V7" i="2"/>
  <c r="X7" i="2" s="1"/>
  <c r="V24" i="2"/>
  <c r="X24" i="2" s="1"/>
  <c r="X9" i="2" l="1"/>
  <c r="X38" i="2" s="1"/>
</calcChain>
</file>

<file path=xl/sharedStrings.xml><?xml version="1.0" encoding="utf-8"?>
<sst xmlns="http://schemas.openxmlformats.org/spreadsheetml/2006/main" count="136" uniqueCount="101">
  <si>
    <t>Nome</t>
  </si>
  <si>
    <t>CARGO</t>
  </si>
  <si>
    <t>Alexandre Junckes Jacques</t>
  </si>
  <si>
    <t>Bárbhara Veloso Beppler</t>
  </si>
  <si>
    <t>Bruna Porto Martins</t>
  </si>
  <si>
    <t>Carmen Eugência Alvarez Patron</t>
  </si>
  <si>
    <t>Edna Lealcy Goulart Ferreira</t>
  </si>
  <si>
    <t>Felipe Wagner da Silva</t>
  </si>
  <si>
    <t>Filipe Lima Rockenbach</t>
  </si>
  <si>
    <t>Isabel Leal Marcon Leonetti</t>
  </si>
  <si>
    <t>Isabella Pereira de Sousa</t>
  </si>
  <si>
    <t>Jaime Teixeira Chaves</t>
  </si>
  <si>
    <t>Jaqueline Freitas Vilain</t>
  </si>
  <si>
    <t>Lucas Henrique Gomes da Rocha</t>
  </si>
  <si>
    <t>Luiza Mecabo</t>
  </si>
  <si>
    <t>Manuela Cavallazzi</t>
  </si>
  <si>
    <t>Mayara Regina de Souza</t>
  </si>
  <si>
    <t>Melina Valença Marcondes</t>
  </si>
  <si>
    <t>Mônica Paludo</t>
  </si>
  <si>
    <t>Nayana Maria de Oliveira</t>
  </si>
  <si>
    <t>Rodrigo David Barros Silva</t>
  </si>
  <si>
    <t>Tatiana Moreira Feres de Melo</t>
  </si>
  <si>
    <t>Thiago Pereira Martins</t>
  </si>
  <si>
    <t>Yve Sarkis da Costa</t>
  </si>
  <si>
    <t>Gerente Técnica</t>
  </si>
  <si>
    <t>Gerente Geral</t>
  </si>
  <si>
    <t>Assessor Especial</t>
  </si>
  <si>
    <t>Assistente Técnico I</t>
  </si>
  <si>
    <t>Secretária II</t>
  </si>
  <si>
    <t>Gerente Financeiro</t>
  </si>
  <si>
    <t>Procuradora Geral</t>
  </si>
  <si>
    <t>Assistente Técnico II</t>
  </si>
  <si>
    <t>REMUNERAÇÕES + BENEFÍCIOS em R$</t>
  </si>
  <si>
    <t>DESCONTOS R$</t>
  </si>
  <si>
    <t>Coordenador de TI</t>
  </si>
  <si>
    <t>Liquidos</t>
  </si>
  <si>
    <t>Auxilios e Beneficios</t>
  </si>
  <si>
    <t>Auxílios EXTRAS</t>
  </si>
  <si>
    <t xml:space="preserve"> </t>
  </si>
  <si>
    <t>Rebeca Dora Weber</t>
  </si>
  <si>
    <t>Estagiária Direito</t>
  </si>
  <si>
    <t>Estagiário Administração</t>
  </si>
  <si>
    <t>Gerente  Administrativo</t>
  </si>
  <si>
    <t>Andrea Beatriz Fritz Bueno</t>
  </si>
  <si>
    <t>Franciani Rosalia Rigoni</t>
  </si>
  <si>
    <t>Fernanda Maria Menezes¹</t>
  </si>
  <si>
    <t>Ricardo de Freitas²</t>
  </si>
  <si>
    <t>Analista Administrativo II</t>
  </si>
  <si>
    <t>Assistente Administrativo II</t>
  </si>
  <si>
    <t>Analista Jurídico II</t>
  </si>
  <si>
    <t>Assistente Financeiro II</t>
  </si>
  <si>
    <t>Secretária III</t>
  </si>
  <si>
    <t>Analista Técnico IV</t>
  </si>
  <si>
    <t>Assistente Técnico III</t>
  </si>
  <si>
    <t>Arquiteto Fiscal III</t>
  </si>
  <si>
    <t>Marcelo Venturin</t>
  </si>
  <si>
    <t>Gisele Cristiane Bueno</t>
  </si>
  <si>
    <t>Estagiário Jornalismo</t>
  </si>
  <si>
    <t>Iasmim da Costa Figueredo</t>
  </si>
  <si>
    <t>Assistente Técnico IV</t>
  </si>
  <si>
    <t>Coordenador Técnico</t>
  </si>
  <si>
    <t>² Empregado a disposição do CAU disponibilizada pelo DEINFRA. O Salário pago ao empregado foi de R$ 4.281,87 a diferença refere-se ao reembolso ao DEINFRA.</t>
  </si>
  <si>
    <t>CENTRO 
CUSTO</t>
  </si>
  <si>
    <t>3.02.03.003</t>
  </si>
  <si>
    <t>3.02.03.001</t>
  </si>
  <si>
    <t>3.02.06.001</t>
  </si>
  <si>
    <t>Lilian Laudina Caolvilla</t>
  </si>
  <si>
    <t>3.02.01.001</t>
  </si>
  <si>
    <t>3.01.12</t>
  </si>
  <si>
    <t>3.01.13</t>
  </si>
  <si>
    <t>3.02.02.001</t>
  </si>
  <si>
    <t>3.02.03.002</t>
  </si>
  <si>
    <t>Arquiteta Fiscal IV</t>
  </si>
  <si>
    <t>Lihue Qunonez Impalea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</si>
  <si>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</si>
  <si>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</si>
  <si>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</si>
  <si>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</si>
  <si>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</si>
  <si>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</si>
  <si>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</si>
  <si>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</si>
  <si>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</si>
  <si>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</si>
  <si>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Plano de 
Saude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</si>
  <si>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</si>
  <si>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</si>
  <si>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</si>
  <si>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</si>
  <si>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</si>
  <si>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</si>
  <si>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</si>
  <si>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</si>
  <si>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</si>
  <si>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</si>
  <si>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</si>
  <si>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</si>
  <si>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</si>
  <si>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>¹ Empregada cedida com ônus pelo DEINFRA. O Salário pago à empregada: R$ 3.274,07. Reembolso da diferença do salário pago ao DEINFRA:</t>
  </si>
  <si>
    <t xml:space="preserve">TOTAL GERAL DA FOLHA </t>
  </si>
  <si>
    <t>DEMONSTRATIVO DETALHADO DA FOLHA DE PAGAMENTO
JANEIRO/2017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</si>
</sst>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18" fillId="0" borderId="10" xfId="1" applyFont="1" applyBorder="1" applyAlignment="1">
      <alignment vertical="center"/>
    </xf>
    <xf numFmtId="43" fontId="19" fillId="0" borderId="10" xfId="1" applyFont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43" fontId="20" fillId="0" borderId="10" xfId="1" applyFont="1" applyBorder="1" applyAlignment="1">
      <alignment vertical="center"/>
    </xf>
    <xf numFmtId="43" fontId="21" fillId="0" borderId="10" xfId="1" applyFont="1" applyBorder="1" applyAlignment="1">
      <alignment vertical="center"/>
    </xf>
    <xf numFmtId="43" fontId="20" fillId="33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10" xfId="1" applyNumberFormat="1" applyFont="1" applyBorder="1" applyAlignment="1">
      <alignment vertical="center"/>
    </xf>
    <xf numFmtId="164" fontId="19" fillId="0" borderId="10" xfId="1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4" fontId="19" fillId="0" borderId="0" xfId="1" applyNumberFormat="1" applyFont="1" applyBorder="1" applyAlignment="1">
      <alignment vertical="center"/>
    </xf>
    <xf numFmtId="43" fontId="19" fillId="0" borderId="0" xfId="0" applyNumberFormat="1" applyFont="1" applyAlignment="1">
      <alignment vertical="center"/>
    </xf>
    <xf numFmtId="43" fontId="19" fillId="0" borderId="0" xfId="0" applyNumberFormat="1" applyFont="1" applyFill="1" applyAlignment="1">
      <alignment vertical="center"/>
    </xf>
    <xf numFmtId="164" fontId="18" fillId="0" borderId="0" xfId="1" applyNumberFormat="1" applyFont="1" applyAlignment="1">
      <alignment vertical="center"/>
    </xf>
    <xf numFmtId="0" fontId="23" fillId="0" borderId="0" xfId="0" applyFont="1" applyAlignment="1">
      <alignment vertical="center"/>
    </xf>
    <xf numFmtId="43" fontId="22" fillId="34" borderId="10" xfId="1" applyFont="1" applyFill="1" applyBorder="1" applyAlignment="1">
      <alignment horizontal="center" vertical="center" wrapText="1"/>
    </xf>
    <xf numFmtId="43" fontId="19" fillId="33" borderId="10" xfId="1" applyFont="1" applyFill="1" applyBorder="1" applyAlignment="1">
      <alignment vertical="center"/>
    </xf>
    <xf numFmtId="43" fontId="21" fillId="33" borderId="10" xfId="1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43" fontId="22" fillId="34" borderId="10" xfId="1" applyFont="1" applyFill="1" applyBorder="1" applyAlignment="1">
      <alignment horizontal="center" vertical="center" wrapText="1"/>
    </xf>
    <xf numFmtId="164" fontId="22" fillId="34" borderId="10" xfId="1" applyNumberFormat="1" applyFont="1" applyFill="1" applyBorder="1" applyAlignment="1">
      <alignment horizontal="center" vertical="center" wrapText="1"/>
    </xf>
    <xf numFmtId="43" fontId="22" fillId="34" borderId="13" xfId="1" applyFont="1" applyFill="1" applyBorder="1" applyAlignment="1">
      <alignment horizontal="center" vertical="center" wrapText="1"/>
    </xf>
    <xf numFmtId="43" fontId="22" fillId="34" borderId="14" xfId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3" fontId="22" fillId="35" borderId="10" xfId="1" applyFont="1" applyFill="1" applyBorder="1" applyAlignment="1">
      <alignment horizontal="center" vertical="center" wrapText="1"/>
    </xf>
    <xf numFmtId="43" fontId="22" fillId="35" borderId="11" xfId="1" applyFont="1" applyFill="1" applyBorder="1" applyAlignment="1">
      <alignment horizontal="center" vertical="center" wrapText="1"/>
    </xf>
    <xf numFmtId="43" fontId="22" fillId="35" borderId="15" xfId="1" applyFont="1" applyFill="1" applyBorder="1" applyAlignment="1">
      <alignment horizontal="center" vertical="center" wrapText="1"/>
    </xf>
    <xf numFmtId="43" fontId="22" fillId="35" borderId="12" xfId="1" applyFont="1" applyFill="1" applyBorder="1" applyAlignment="1">
      <alignment horizontal="center" vertical="center" wrapText="1"/>
    </xf>
    <xf numFmtId="43" fontId="22" fillId="34" borderId="11" xfId="1" applyFont="1" applyFill="1" applyBorder="1" applyAlignment="1">
      <alignment horizontal="center" vertical="center" wrapText="1"/>
    </xf>
    <xf numFmtId="43" fontId="22" fillId="34" borderId="12" xfId="1" applyFont="1" applyFill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9BC2E6"/>
      <color rgb="FFC9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687405</xdr:colOff>
      <xdr:row>0</xdr:row>
      <xdr:rowOff>803644</xdr:rowOff>
    </xdr:to>
    <xdr:pic>
      <xdr:nvPicPr>
        <xdr:cNvPr id="3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0" y="0"/>
          <a:ext cx="4887930" cy="803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ColWidth="11.28515625" defaultRowHeight="11.25" x14ac:dyDescent="0.25"/>
  <cols>
    <col min="1" max="1" width="24.140625" style="1" customWidth="1"/>
    <col min="2" max="2" width="19.85546875" style="2" bestFit="1" customWidth="1"/>
    <col min="3" max="3" width="9.140625" style="2" bestFit="1" customWidth="1"/>
    <col min="4" max="4" width="9.85546875" style="3" bestFit="1" customWidth="1"/>
    <col min="5" max="5" width="11.140625" style="3" bestFit="1" customWidth="1"/>
    <col min="6" max="6" width="8.85546875" style="3" bestFit="1" customWidth="1"/>
    <col min="7" max="7" width="9" style="3" bestFit="1" customWidth="1"/>
    <col min="8" max="8" width="10.5703125" style="3" bestFit="1" customWidth="1"/>
    <col min="9" max="9" width="9.7109375" style="3" bestFit="1" customWidth="1"/>
    <col min="10" max="10" width="7.5703125" style="30" bestFit="1" customWidth="1"/>
    <col min="11" max="11" width="11.7109375" style="30" bestFit="1" customWidth="1"/>
    <col min="12" max="12" width="11.7109375" style="3" bestFit="1" customWidth="1"/>
    <col min="13" max="13" width="9" style="4" bestFit="1" customWidth="1"/>
    <col min="14" max="14" width="9" style="3" bestFit="1" customWidth="1"/>
    <col min="15" max="15" width="9.85546875" style="3" bestFit="1" customWidth="1"/>
    <col min="16" max="16" width="8.140625" style="3" bestFit="1" customWidth="1"/>
    <col min="17" max="17" width="8.140625" style="4" bestFit="1" customWidth="1"/>
    <col min="18" max="18" width="11.7109375" style="3" bestFit="1" customWidth="1"/>
    <col min="19" max="19" width="12" style="3" bestFit="1" customWidth="1"/>
    <col min="20" max="21" width="7.140625" style="3" bestFit="1" customWidth="1"/>
    <col min="22" max="22" width="9.7109375" style="1" bestFit="1" customWidth="1"/>
    <col min="23" max="23" width="9" style="1" bestFit="1" customWidth="1"/>
    <col min="24" max="24" width="12.85546875" style="1" bestFit="1" customWidth="1"/>
    <col min="25" max="25" width="9" style="1" bestFit="1" customWidth="1"/>
    <col min="26" max="26" width="8.140625" style="1" bestFit="1" customWidth="1"/>
    <col min="27" max="27" width="9" style="5" bestFit="1" customWidth="1"/>
    <col min="28" max="16384" width="11.28515625" style="1"/>
  </cols>
  <sheetData>
    <row r="1" spans="1:27" ht="64.5" customHeight="1" x14ac:dyDescent="0.25">
      <c r="G1" s="49" t="s">
        <v>100</v>
      </c>
      <c r="H1" s="50"/>
      <c r="I1" s="50"/>
      <c r="J1" s="50"/>
      <c r="K1" s="50"/>
      <c r="L1" s="50"/>
      <c r="M1" s="50"/>
      <c r="N1" s="50"/>
      <c r="O1" s="50"/>
      <c r="P1" s="50"/>
    </row>
    <row r="2" spans="1:27" s="31" customFormat="1" ht="19.5" customHeight="1" x14ac:dyDescent="0.25">
      <c r="A2" s="35" t="s">
        <v>0</v>
      </c>
      <c r="B2" s="35" t="s">
        <v>1</v>
      </c>
      <c r="C2" s="40" t="s">
        <v>62</v>
      </c>
      <c r="D2" s="44" t="s">
        <v>32</v>
      </c>
      <c r="E2" s="45"/>
      <c r="F2" s="45"/>
      <c r="G2" s="45"/>
      <c r="H2" s="45"/>
      <c r="I2" s="45"/>
      <c r="J2" s="45"/>
      <c r="K2" s="45"/>
      <c r="L2" s="45"/>
      <c r="M2" s="44" t="s">
        <v>33</v>
      </c>
      <c r="N2" s="45"/>
      <c r="O2" s="45"/>
      <c r="P2" s="45"/>
      <c r="Q2" s="45"/>
      <c r="R2" s="45"/>
      <c r="S2" s="45"/>
      <c r="T2" s="45"/>
      <c r="U2" s="45"/>
      <c r="V2" s="46"/>
      <c r="W2" s="44" t="s">
        <v>35</v>
      </c>
      <c r="X2" s="46"/>
      <c r="Y2" s="43" t="s">
        <v>37</v>
      </c>
      <c r="Z2" s="43"/>
      <c r="AA2" s="43"/>
    </row>
    <row r="3" spans="1:27" s="31" customFormat="1" ht="21" customHeight="1" x14ac:dyDescent="0.25">
      <c r="A3" s="35"/>
      <c r="B3" s="35"/>
      <c r="C3" s="41"/>
      <c r="D3" s="38" t="s">
        <v>74</v>
      </c>
      <c r="E3" s="38" t="s">
        <v>97</v>
      </c>
      <c r="F3" s="38" t="s">
        <v>75</v>
      </c>
      <c r="G3" s="38" t="s">
        <v>77</v>
      </c>
      <c r="H3" s="38" t="s">
        <v>76</v>
      </c>
      <c r="I3" s="38" t="s">
        <v>78</v>
      </c>
      <c r="J3" s="38" t="s">
        <v>79</v>
      </c>
      <c r="K3" s="38" t="s">
        <v>80</v>
      </c>
      <c r="L3" s="38" t="s">
        <v>96</v>
      </c>
      <c r="M3" s="36" t="s">
        <v>81</v>
      </c>
      <c r="N3" s="36" t="s">
        <v>82</v>
      </c>
      <c r="O3" s="36" t="s">
        <v>83</v>
      </c>
      <c r="P3" s="37" t="s">
        <v>84</v>
      </c>
      <c r="Q3" s="36" t="s">
        <v>85</v>
      </c>
      <c r="R3" s="38" t="s">
        <v>86</v>
      </c>
      <c r="S3" s="36" t="s">
        <v>87</v>
      </c>
      <c r="T3" s="47" t="s">
        <v>36</v>
      </c>
      <c r="U3" s="48"/>
      <c r="V3" s="36" t="s">
        <v>90</v>
      </c>
      <c r="W3" s="38" t="s">
        <v>91</v>
      </c>
      <c r="X3" s="38" t="s">
        <v>92</v>
      </c>
      <c r="Y3" s="40" t="s">
        <v>93</v>
      </c>
      <c r="Z3" s="36" t="s">
        <v>94</v>
      </c>
      <c r="AA3" s="36" t="s">
        <v>95</v>
      </c>
    </row>
    <row r="4" spans="1:27" s="31" customFormat="1" ht="36" x14ac:dyDescent="0.25">
      <c r="A4" s="35"/>
      <c r="B4" s="35"/>
      <c r="C4" s="42"/>
      <c r="D4" s="39"/>
      <c r="E4" s="39"/>
      <c r="F4" s="39"/>
      <c r="G4" s="39"/>
      <c r="H4" s="39"/>
      <c r="I4" s="39"/>
      <c r="J4" s="39"/>
      <c r="K4" s="39"/>
      <c r="L4" s="39"/>
      <c r="M4" s="36"/>
      <c r="N4" s="36"/>
      <c r="O4" s="36"/>
      <c r="P4" s="37"/>
      <c r="Q4" s="36"/>
      <c r="R4" s="39"/>
      <c r="S4" s="36"/>
      <c r="T4" s="32" t="s">
        <v>88</v>
      </c>
      <c r="U4" s="32" t="s">
        <v>89</v>
      </c>
      <c r="V4" s="36"/>
      <c r="W4" s="39"/>
      <c r="X4" s="39"/>
      <c r="Y4" s="42"/>
      <c r="Z4" s="36"/>
      <c r="AA4" s="36"/>
    </row>
    <row r="5" spans="1:27" x14ac:dyDescent="0.25">
      <c r="A5" s="6" t="s">
        <v>2</v>
      </c>
      <c r="B5" s="7" t="s">
        <v>42</v>
      </c>
      <c r="C5" s="8" t="s">
        <v>65</v>
      </c>
      <c r="D5" s="9">
        <v>10561.63</v>
      </c>
      <c r="E5" s="9"/>
      <c r="F5" s="9"/>
      <c r="G5" s="9"/>
      <c r="H5" s="9"/>
      <c r="I5" s="9"/>
      <c r="J5" s="9"/>
      <c r="K5" s="9">
        <v>0</v>
      </c>
      <c r="L5" s="10">
        <f t="shared" ref="L5:L36" si="0">SUM(D5:K5)</f>
        <v>10561.63</v>
      </c>
      <c r="M5" s="9">
        <v>608.44000000000005</v>
      </c>
      <c r="N5" s="9">
        <v>1815.63</v>
      </c>
      <c r="O5" s="9">
        <v>0</v>
      </c>
      <c r="P5" s="9">
        <v>93.06</v>
      </c>
      <c r="Q5" s="9"/>
      <c r="R5" s="9"/>
      <c r="S5" s="9">
        <v>0</v>
      </c>
      <c r="T5" s="11">
        <v>105.62</v>
      </c>
      <c r="U5" s="12">
        <v>32.950000000000003</v>
      </c>
      <c r="V5" s="10">
        <f t="shared" ref="V5:V14" si="1">SUM(M5:U5)</f>
        <v>2655.7</v>
      </c>
      <c r="W5" s="9">
        <v>0</v>
      </c>
      <c r="X5" s="33">
        <f t="shared" ref="X5:X36" si="2">L5-V5-W5</f>
        <v>7905.9299999999994</v>
      </c>
      <c r="Y5" s="9">
        <v>844.93</v>
      </c>
      <c r="Z5" s="9">
        <v>146.95999999999998</v>
      </c>
      <c r="AA5" s="9">
        <v>658.91</v>
      </c>
    </row>
    <row r="6" spans="1:27" x14ac:dyDescent="0.25">
      <c r="A6" s="6" t="s">
        <v>43</v>
      </c>
      <c r="B6" s="7" t="s">
        <v>27</v>
      </c>
      <c r="C6" s="8" t="s">
        <v>63</v>
      </c>
      <c r="D6" s="9">
        <v>2555.9</v>
      </c>
      <c r="E6" s="9"/>
      <c r="F6" s="9"/>
      <c r="G6" s="9"/>
      <c r="H6" s="9"/>
      <c r="I6" s="9"/>
      <c r="J6" s="9"/>
      <c r="K6" s="9">
        <v>0</v>
      </c>
      <c r="L6" s="10">
        <f t="shared" si="0"/>
        <v>2555.9</v>
      </c>
      <c r="M6" s="9">
        <v>230.03</v>
      </c>
      <c r="N6" s="9">
        <v>31.64</v>
      </c>
      <c r="O6" s="9">
        <v>0</v>
      </c>
      <c r="P6" s="9">
        <v>0</v>
      </c>
      <c r="Q6" s="9">
        <v>0</v>
      </c>
      <c r="R6" s="9"/>
      <c r="S6" s="9">
        <v>0</v>
      </c>
      <c r="T6" s="11">
        <v>25.56</v>
      </c>
      <c r="U6" s="12">
        <v>32.950000000000003</v>
      </c>
      <c r="V6" s="10">
        <f t="shared" si="1"/>
        <v>320.18</v>
      </c>
      <c r="W6" s="9">
        <v>0</v>
      </c>
      <c r="X6" s="33">
        <f t="shared" si="2"/>
        <v>2235.7200000000003</v>
      </c>
      <c r="Y6" s="9">
        <v>204.47</v>
      </c>
      <c r="Z6" s="9">
        <v>146.95999999999998</v>
      </c>
      <c r="AA6" s="9">
        <v>658.91</v>
      </c>
    </row>
    <row r="7" spans="1:27" x14ac:dyDescent="0.25">
      <c r="A7" s="6" t="s">
        <v>3</v>
      </c>
      <c r="B7" s="7" t="s">
        <v>31</v>
      </c>
      <c r="C7" s="8" t="s">
        <v>63</v>
      </c>
      <c r="D7" s="9">
        <f>2342.84+264.18</f>
        <v>2607.02</v>
      </c>
      <c r="E7" s="9"/>
      <c r="F7" s="9"/>
      <c r="G7" s="9"/>
      <c r="H7" s="9"/>
      <c r="I7" s="9"/>
      <c r="J7" s="9"/>
      <c r="K7" s="9">
        <v>0</v>
      </c>
      <c r="L7" s="10">
        <f t="shared" si="0"/>
        <v>2607.02</v>
      </c>
      <c r="M7" s="9">
        <v>209.66</v>
      </c>
      <c r="N7" s="9">
        <v>16.190000000000001</v>
      </c>
      <c r="O7" s="9">
        <v>19</v>
      </c>
      <c r="P7" s="9">
        <v>150.49</v>
      </c>
      <c r="Q7" s="9">
        <f>181.84+95.59</f>
        <v>277.43</v>
      </c>
      <c r="R7" s="9"/>
      <c r="S7" s="9">
        <v>0</v>
      </c>
      <c r="T7" s="11">
        <v>0</v>
      </c>
      <c r="U7" s="12">
        <v>32.950000000000003</v>
      </c>
      <c r="V7" s="10">
        <f t="shared" si="1"/>
        <v>705.72</v>
      </c>
      <c r="W7" s="9">
        <v>0</v>
      </c>
      <c r="X7" s="33">
        <f t="shared" si="2"/>
        <v>1901.3</v>
      </c>
      <c r="Y7" s="9">
        <v>186.36</v>
      </c>
      <c r="Z7" s="9">
        <v>0</v>
      </c>
      <c r="AA7" s="9">
        <v>658.91</v>
      </c>
    </row>
    <row r="8" spans="1:27" x14ac:dyDescent="0.25">
      <c r="A8" s="6" t="s">
        <v>4</v>
      </c>
      <c r="B8" s="7" t="s">
        <v>51</v>
      </c>
      <c r="C8" s="8" t="s">
        <v>70</v>
      </c>
      <c r="D8" s="9"/>
      <c r="E8" s="9">
        <v>3143.97</v>
      </c>
      <c r="F8" s="9"/>
      <c r="G8" s="9">
        <f>224.57+6.87+77.16</f>
        <v>308.60000000000002</v>
      </c>
      <c r="H8" s="9"/>
      <c r="I8" s="9"/>
      <c r="J8" s="9"/>
      <c r="K8" s="9">
        <v>0</v>
      </c>
      <c r="L8" s="10">
        <f t="shared" si="0"/>
        <v>3452.5699999999997</v>
      </c>
      <c r="M8" s="9">
        <f>33.95+345.83</f>
        <v>379.78</v>
      </c>
      <c r="N8" s="9">
        <f>16.54+52.84</f>
        <v>69.38</v>
      </c>
      <c r="O8" s="9">
        <v>19</v>
      </c>
      <c r="P8" s="9">
        <v>388.95</v>
      </c>
      <c r="Q8" s="9">
        <v>0</v>
      </c>
      <c r="R8" s="9"/>
      <c r="S8" s="9">
        <f>258.11</f>
        <v>258.11</v>
      </c>
      <c r="T8" s="11">
        <v>0</v>
      </c>
      <c r="U8" s="12">
        <v>32.950000000000003</v>
      </c>
      <c r="V8" s="10">
        <f t="shared" si="1"/>
        <v>1148.1699999999998</v>
      </c>
      <c r="W8" s="9">
        <v>0</v>
      </c>
      <c r="X8" s="33">
        <f t="shared" si="2"/>
        <v>2304.3999999999996</v>
      </c>
      <c r="Y8" s="9">
        <v>276.2</v>
      </c>
      <c r="Z8" s="9">
        <v>0</v>
      </c>
      <c r="AA8" s="9">
        <v>658.91</v>
      </c>
    </row>
    <row r="9" spans="1:27" x14ac:dyDescent="0.25">
      <c r="A9" s="6" t="s">
        <v>5</v>
      </c>
      <c r="B9" s="7" t="s">
        <v>72</v>
      </c>
      <c r="C9" s="8" t="s">
        <v>71</v>
      </c>
      <c r="D9" s="9">
        <f>160.21</f>
        <v>160.21</v>
      </c>
      <c r="E9" s="9">
        <f>5719.38+2403.1+13.22+805.6+64.43</f>
        <v>9005.73</v>
      </c>
      <c r="F9" s="9"/>
      <c r="G9" s="9"/>
      <c r="H9" s="9"/>
      <c r="I9" s="9"/>
      <c r="J9" s="9"/>
      <c r="K9" s="9">
        <v>0</v>
      </c>
      <c r="L9" s="10">
        <f t="shared" si="0"/>
        <v>9165.9399999999987</v>
      </c>
      <c r="M9" s="9">
        <f>342.53+265.91</f>
        <v>608.44000000000005</v>
      </c>
      <c r="N9" s="9">
        <f>674.4+270.22</f>
        <v>944.62</v>
      </c>
      <c r="O9" s="9">
        <v>19</v>
      </c>
      <c r="P9" s="9">
        <v>67.010000000000005</v>
      </c>
      <c r="Q9" s="9"/>
      <c r="R9" s="9"/>
      <c r="S9" s="9">
        <v>2609.17</v>
      </c>
      <c r="T9" s="11">
        <v>57.19</v>
      </c>
      <c r="U9" s="12">
        <v>32.950000000000003</v>
      </c>
      <c r="V9" s="10">
        <f t="shared" si="1"/>
        <v>4338.3799999999992</v>
      </c>
      <c r="W9" s="9">
        <v>0</v>
      </c>
      <c r="X9" s="33">
        <f t="shared" si="2"/>
        <v>4827.5599999999995</v>
      </c>
      <c r="Y9" s="9">
        <v>733.27</v>
      </c>
      <c r="Z9" s="9">
        <v>146.96</v>
      </c>
      <c r="AA9" s="9">
        <v>658.91</v>
      </c>
    </row>
    <row r="10" spans="1:27" x14ac:dyDescent="0.25">
      <c r="A10" s="6" t="s">
        <v>6</v>
      </c>
      <c r="B10" s="7" t="s">
        <v>47</v>
      </c>
      <c r="C10" s="8" t="s">
        <v>65</v>
      </c>
      <c r="D10" s="9">
        <f>1436.33</f>
        <v>1436.33</v>
      </c>
      <c r="E10" s="9"/>
      <c r="F10" s="9">
        <f>9.7+1.86</f>
        <v>11.559999999999999</v>
      </c>
      <c r="G10" s="9">
        <f>2872.67+42.61+558.88+1158.28</f>
        <v>4632.4400000000005</v>
      </c>
      <c r="H10" s="9"/>
      <c r="I10" s="9"/>
      <c r="J10" s="9"/>
      <c r="K10" s="9">
        <v>0</v>
      </c>
      <c r="L10" s="10">
        <f t="shared" si="0"/>
        <v>6080.33</v>
      </c>
      <c r="M10" s="9">
        <f>509.56+98.88</f>
        <v>608.44000000000005</v>
      </c>
      <c r="N10" s="9">
        <v>248.86</v>
      </c>
      <c r="O10" s="9">
        <v>0</v>
      </c>
      <c r="P10" s="9">
        <v>46.53</v>
      </c>
      <c r="Q10" s="9">
        <v>0</v>
      </c>
      <c r="R10" s="9"/>
      <c r="S10" s="9">
        <f>3874.02</f>
        <v>3874.02</v>
      </c>
      <c r="T10" s="11">
        <v>0</v>
      </c>
      <c r="U10" s="12">
        <v>32.950000000000003</v>
      </c>
      <c r="V10" s="10">
        <f t="shared" si="1"/>
        <v>4810.8</v>
      </c>
      <c r="W10" s="9">
        <v>0</v>
      </c>
      <c r="X10" s="33">
        <f t="shared" si="2"/>
        <v>1269.5299999999997</v>
      </c>
      <c r="Y10" s="9">
        <v>486.42</v>
      </c>
      <c r="Z10" s="9">
        <v>0</v>
      </c>
      <c r="AA10" s="9">
        <v>658.91</v>
      </c>
    </row>
    <row r="11" spans="1:27" x14ac:dyDescent="0.25">
      <c r="A11" s="6" t="s">
        <v>7</v>
      </c>
      <c r="B11" s="7" t="s">
        <v>59</v>
      </c>
      <c r="C11" s="8" t="s">
        <v>64</v>
      </c>
      <c r="D11" s="9">
        <f>2707.59+4.75</f>
        <v>2712.34</v>
      </c>
      <c r="E11" s="9"/>
      <c r="F11" s="9">
        <f>8.14+1.57</f>
        <v>9.7100000000000009</v>
      </c>
      <c r="G11" s="9"/>
      <c r="H11" s="9"/>
      <c r="I11" s="9"/>
      <c r="J11" s="9"/>
      <c r="K11" s="9">
        <v>0</v>
      </c>
      <c r="L11" s="10">
        <f t="shared" si="0"/>
        <v>2722.05</v>
      </c>
      <c r="M11" s="12">
        <v>244.98</v>
      </c>
      <c r="N11" s="9">
        <v>42.98</v>
      </c>
      <c r="O11" s="9">
        <v>19</v>
      </c>
      <c r="P11" s="9">
        <v>19.53</v>
      </c>
      <c r="Q11" s="12">
        <v>0</v>
      </c>
      <c r="R11" s="12"/>
      <c r="S11" s="12">
        <v>0</v>
      </c>
      <c r="T11" s="11">
        <v>27.12</v>
      </c>
      <c r="U11" s="12">
        <v>32.950000000000003</v>
      </c>
      <c r="V11" s="13">
        <f t="shared" si="1"/>
        <v>386.56</v>
      </c>
      <c r="W11" s="9">
        <v>0</v>
      </c>
      <c r="X11" s="33">
        <f t="shared" si="2"/>
        <v>2335.4900000000002</v>
      </c>
      <c r="Y11" s="9">
        <v>217.76</v>
      </c>
      <c r="Z11" s="9">
        <v>253</v>
      </c>
      <c r="AA11" s="9">
        <v>658.91</v>
      </c>
    </row>
    <row r="12" spans="1:27" x14ac:dyDescent="0.25">
      <c r="A12" s="14" t="s">
        <v>45</v>
      </c>
      <c r="B12" s="7" t="s">
        <v>24</v>
      </c>
      <c r="C12" s="8" t="s">
        <v>64</v>
      </c>
      <c r="D12" s="9">
        <v>10561.63</v>
      </c>
      <c r="E12" s="9"/>
      <c r="F12" s="9"/>
      <c r="G12" s="9"/>
      <c r="H12" s="9"/>
      <c r="I12" s="9"/>
      <c r="J12" s="9"/>
      <c r="K12" s="9">
        <v>0</v>
      </c>
      <c r="L12" s="10">
        <f t="shared" si="0"/>
        <v>10561.63</v>
      </c>
      <c r="M12" s="9">
        <v>0</v>
      </c>
      <c r="N12" s="9">
        <v>136.31</v>
      </c>
      <c r="O12" s="9">
        <v>0</v>
      </c>
      <c r="P12" s="9">
        <v>0</v>
      </c>
      <c r="Q12" s="9"/>
      <c r="R12" s="9"/>
      <c r="S12" s="9">
        <v>0</v>
      </c>
      <c r="T12" s="11">
        <v>0</v>
      </c>
      <c r="U12" s="12">
        <v>32.950000000000003</v>
      </c>
      <c r="V12" s="10">
        <f t="shared" si="1"/>
        <v>169.26</v>
      </c>
      <c r="W12" s="9">
        <v>0</v>
      </c>
      <c r="X12" s="33">
        <f t="shared" si="2"/>
        <v>10392.369999999999</v>
      </c>
      <c r="Y12" s="9">
        <v>261.92</v>
      </c>
      <c r="Z12" s="9">
        <v>0</v>
      </c>
      <c r="AA12" s="9">
        <v>658.91</v>
      </c>
    </row>
    <row r="13" spans="1:27" x14ac:dyDescent="0.25">
      <c r="A13" s="6" t="s">
        <v>8</v>
      </c>
      <c r="B13" s="7" t="s">
        <v>29</v>
      </c>
      <c r="C13" s="8" t="s">
        <v>65</v>
      </c>
      <c r="D13" s="9">
        <v>10561.63</v>
      </c>
      <c r="E13" s="9"/>
      <c r="F13" s="9"/>
      <c r="G13" s="9"/>
      <c r="H13" s="9"/>
      <c r="I13" s="9"/>
      <c r="J13" s="9"/>
      <c r="K13" s="9">
        <v>0</v>
      </c>
      <c r="L13" s="10">
        <f t="shared" si="0"/>
        <v>10561.63</v>
      </c>
      <c r="M13" s="9">
        <v>608.44000000000005</v>
      </c>
      <c r="N13" s="9">
        <v>1867.77</v>
      </c>
      <c r="O13" s="9">
        <v>0</v>
      </c>
      <c r="P13" s="9">
        <v>71.540000000000006</v>
      </c>
      <c r="Q13" s="9"/>
      <c r="R13" s="9"/>
      <c r="S13" s="9">
        <v>0</v>
      </c>
      <c r="T13" s="11">
        <v>0</v>
      </c>
      <c r="U13" s="12">
        <v>32.950000000000003</v>
      </c>
      <c r="V13" s="10">
        <f t="shared" si="1"/>
        <v>2580.6999999999998</v>
      </c>
      <c r="W13" s="9">
        <v>0</v>
      </c>
      <c r="X13" s="33">
        <f t="shared" si="2"/>
        <v>7980.9299999999994</v>
      </c>
      <c r="Y13" s="9">
        <v>844.93</v>
      </c>
      <c r="Z13" s="9">
        <v>0</v>
      </c>
      <c r="AA13" s="9">
        <v>658.91</v>
      </c>
    </row>
    <row r="14" spans="1:27" s="18" customFormat="1" ht="15.75" customHeight="1" x14ac:dyDescent="0.25">
      <c r="A14" s="14" t="s">
        <v>44</v>
      </c>
      <c r="B14" s="7" t="s">
        <v>52</v>
      </c>
      <c r="C14" s="8" t="s">
        <v>64</v>
      </c>
      <c r="D14" s="15">
        <f>8028.24+142.3</f>
        <v>8170.54</v>
      </c>
      <c r="E14" s="15"/>
      <c r="F14" s="15">
        <f>20.43+3.93</f>
        <v>24.36</v>
      </c>
      <c r="G14" s="15"/>
      <c r="H14" s="15"/>
      <c r="I14" s="15"/>
      <c r="J14" s="9"/>
      <c r="K14" s="9">
        <v>0</v>
      </c>
      <c r="L14" s="16">
        <f t="shared" si="0"/>
        <v>8194.9</v>
      </c>
      <c r="M14" s="15">
        <v>608.44000000000005</v>
      </c>
      <c r="N14" s="15">
        <v>1216.92</v>
      </c>
      <c r="O14" s="15">
        <v>0</v>
      </c>
      <c r="P14" s="15">
        <v>47.69</v>
      </c>
      <c r="Q14" s="15"/>
      <c r="R14" s="15"/>
      <c r="S14" s="15">
        <v>0</v>
      </c>
      <c r="T14" s="17">
        <v>0</v>
      </c>
      <c r="U14" s="12">
        <v>32.950000000000003</v>
      </c>
      <c r="V14" s="16">
        <f t="shared" si="1"/>
        <v>1906.0000000000002</v>
      </c>
      <c r="W14" s="15">
        <v>0</v>
      </c>
      <c r="X14" s="34">
        <f t="shared" si="2"/>
        <v>6288.9</v>
      </c>
      <c r="Y14" s="15">
        <v>655.59</v>
      </c>
      <c r="Z14" s="9">
        <v>0</v>
      </c>
      <c r="AA14" s="9">
        <v>658.91</v>
      </c>
    </row>
    <row r="15" spans="1:27" x14ac:dyDescent="0.25">
      <c r="A15" s="6" t="s">
        <v>56</v>
      </c>
      <c r="B15" s="7" t="s">
        <v>57</v>
      </c>
      <c r="C15" s="8" t="s">
        <v>68</v>
      </c>
      <c r="D15" s="19">
        <v>766.43</v>
      </c>
      <c r="E15" s="9"/>
      <c r="F15" s="9"/>
      <c r="G15" s="9"/>
      <c r="H15" s="9"/>
      <c r="I15" s="9"/>
      <c r="J15" s="9"/>
      <c r="K15" s="9">
        <v>70</v>
      </c>
      <c r="L15" s="10">
        <f>SUM(D15:K15)</f>
        <v>836.43</v>
      </c>
      <c r="M15" s="9">
        <v>0</v>
      </c>
      <c r="N15" s="9">
        <v>0</v>
      </c>
      <c r="O15" s="9">
        <v>0</v>
      </c>
      <c r="P15" s="9">
        <v>0</v>
      </c>
      <c r="Q15" s="9"/>
      <c r="R15" s="9"/>
      <c r="S15" s="9">
        <v>0</v>
      </c>
      <c r="T15" s="11">
        <v>0</v>
      </c>
      <c r="U15" s="12">
        <v>0</v>
      </c>
      <c r="V15" s="10">
        <f>SUM(M15:U15)</f>
        <v>0</v>
      </c>
      <c r="W15" s="9"/>
      <c r="X15" s="33">
        <f t="shared" si="2"/>
        <v>836.43</v>
      </c>
      <c r="Y15" s="9">
        <v>0</v>
      </c>
      <c r="Z15" s="9">
        <v>0</v>
      </c>
      <c r="AA15" s="9">
        <v>0</v>
      </c>
    </row>
    <row r="16" spans="1:27" x14ac:dyDescent="0.25">
      <c r="A16" s="6" t="s">
        <v>58</v>
      </c>
      <c r="B16" s="7" t="s">
        <v>41</v>
      </c>
      <c r="C16" s="8" t="s">
        <v>65</v>
      </c>
      <c r="D16" s="19">
        <v>766.43</v>
      </c>
      <c r="E16" s="9"/>
      <c r="F16" s="9"/>
      <c r="G16" s="9"/>
      <c r="H16" s="9"/>
      <c r="I16" s="9"/>
      <c r="J16" s="9"/>
      <c r="K16" s="20">
        <v>70</v>
      </c>
      <c r="L16" s="10">
        <f>SUM(D16:K16)</f>
        <v>836.43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/>
      <c r="S16" s="9">
        <v>0</v>
      </c>
      <c r="T16" s="11">
        <v>0</v>
      </c>
      <c r="U16" s="12">
        <v>0</v>
      </c>
      <c r="V16" s="10">
        <f t="shared" ref="V16" si="3">SUM(M16:U16)</f>
        <v>0</v>
      </c>
      <c r="W16" s="9">
        <v>0</v>
      </c>
      <c r="X16" s="33">
        <f t="shared" si="2"/>
        <v>836.43</v>
      </c>
      <c r="Y16" s="9">
        <v>0</v>
      </c>
      <c r="Z16" s="9">
        <v>0</v>
      </c>
      <c r="AA16" s="9">
        <v>0</v>
      </c>
    </row>
    <row r="17" spans="1:27" x14ac:dyDescent="0.25">
      <c r="A17" s="6" t="s">
        <v>9</v>
      </c>
      <c r="B17" s="7" t="s">
        <v>30</v>
      </c>
      <c r="C17" s="8" t="s">
        <v>69</v>
      </c>
      <c r="D17" s="9">
        <v>10561.63</v>
      </c>
      <c r="E17" s="9"/>
      <c r="F17" s="9"/>
      <c r="G17" s="9"/>
      <c r="H17" s="9"/>
      <c r="I17" s="9"/>
      <c r="J17" s="9"/>
      <c r="K17" s="9">
        <v>0</v>
      </c>
      <c r="L17" s="10">
        <f>SUM(D17:K17)</f>
        <v>10561.63</v>
      </c>
      <c r="M17" s="9">
        <v>608.44000000000005</v>
      </c>
      <c r="N17" s="9">
        <v>1867.77</v>
      </c>
      <c r="O17" s="9">
        <v>0</v>
      </c>
      <c r="P17" s="9">
        <v>71.540000000000006</v>
      </c>
      <c r="Q17" s="9"/>
      <c r="R17" s="9"/>
      <c r="S17" s="9">
        <v>0</v>
      </c>
      <c r="T17" s="11">
        <v>0</v>
      </c>
      <c r="U17" s="12">
        <v>32.950000000000003</v>
      </c>
      <c r="V17" s="10">
        <f>SUM(M17:U17)</f>
        <v>2580.6999999999998</v>
      </c>
      <c r="W17" s="9">
        <v>0</v>
      </c>
      <c r="X17" s="33">
        <f t="shared" si="2"/>
        <v>7980.9299999999994</v>
      </c>
      <c r="Y17" s="9">
        <v>844.93</v>
      </c>
      <c r="Z17" s="9">
        <v>0</v>
      </c>
      <c r="AA17" s="9">
        <v>658.91</v>
      </c>
    </row>
    <row r="18" spans="1:27" x14ac:dyDescent="0.25">
      <c r="A18" s="6" t="s">
        <v>10</v>
      </c>
      <c r="B18" s="7" t="s">
        <v>48</v>
      </c>
      <c r="C18" s="8" t="s">
        <v>65</v>
      </c>
      <c r="D18" s="9">
        <v>2607.02</v>
      </c>
      <c r="E18" s="9"/>
      <c r="F18" s="9"/>
      <c r="G18" s="9"/>
      <c r="H18" s="9"/>
      <c r="I18" s="9"/>
      <c r="J18" s="9"/>
      <c r="K18" s="9">
        <v>0</v>
      </c>
      <c r="L18" s="10">
        <f t="shared" si="0"/>
        <v>2607.02</v>
      </c>
      <c r="M18" s="9">
        <v>234.63</v>
      </c>
      <c r="N18" s="9">
        <v>35.130000000000003</v>
      </c>
      <c r="O18" s="9">
        <v>0</v>
      </c>
      <c r="P18" s="9">
        <v>15.04</v>
      </c>
      <c r="Q18" s="9">
        <v>0</v>
      </c>
      <c r="R18" s="9"/>
      <c r="S18" s="9">
        <v>0</v>
      </c>
      <c r="T18" s="11">
        <v>0</v>
      </c>
      <c r="U18" s="12">
        <v>32.950000000000003</v>
      </c>
      <c r="V18" s="10">
        <f t="shared" ref="V18:V23" si="4">SUM(M18:U18)</f>
        <v>317.75</v>
      </c>
      <c r="W18" s="9">
        <v>0</v>
      </c>
      <c r="X18" s="33">
        <f t="shared" si="2"/>
        <v>2289.27</v>
      </c>
      <c r="Y18" s="9">
        <v>208.56</v>
      </c>
      <c r="Z18" s="9">
        <v>0</v>
      </c>
      <c r="AA18" s="9">
        <v>658.91</v>
      </c>
    </row>
    <row r="19" spans="1:27" x14ac:dyDescent="0.25">
      <c r="A19" s="6" t="s">
        <v>11</v>
      </c>
      <c r="B19" s="7" t="s">
        <v>25</v>
      </c>
      <c r="C19" s="8" t="s">
        <v>67</v>
      </c>
      <c r="D19" s="9">
        <f>9646.36</f>
        <v>9646.36</v>
      </c>
      <c r="E19" s="9"/>
      <c r="F19" s="9"/>
      <c r="G19" s="9">
        <f>4134.16+1378.33</f>
        <v>5512.49</v>
      </c>
      <c r="H19" s="9"/>
      <c r="I19" s="9"/>
      <c r="J19" s="9"/>
      <c r="K19" s="9">
        <v>0</v>
      </c>
      <c r="L19" s="10">
        <f t="shared" si="0"/>
        <v>15158.85</v>
      </c>
      <c r="M19" s="9">
        <f>513.79+94.65</f>
        <v>608.43999999999994</v>
      </c>
      <c r="N19" s="9">
        <f>1705.22+545.29</f>
        <v>2250.5100000000002</v>
      </c>
      <c r="O19" s="9">
        <v>0</v>
      </c>
      <c r="P19" s="9">
        <v>484.73</v>
      </c>
      <c r="Q19" s="9"/>
      <c r="R19" s="9"/>
      <c r="S19" s="9">
        <v>4453.41</v>
      </c>
      <c r="T19" s="11">
        <v>0</v>
      </c>
      <c r="U19" s="12">
        <v>32.950000000000003</v>
      </c>
      <c r="V19" s="10">
        <f t="shared" si="4"/>
        <v>7830.04</v>
      </c>
      <c r="W19" s="9">
        <v>0</v>
      </c>
      <c r="X19" s="33">
        <f t="shared" si="2"/>
        <v>7328.81</v>
      </c>
      <c r="Y19" s="9">
        <v>1212.7</v>
      </c>
      <c r="Z19" s="9">
        <v>0</v>
      </c>
      <c r="AA19" s="9">
        <v>658.91</v>
      </c>
    </row>
    <row r="20" spans="1:27" x14ac:dyDescent="0.25">
      <c r="A20" s="6" t="s">
        <v>12</v>
      </c>
      <c r="B20" s="7" t="s">
        <v>48</v>
      </c>
      <c r="C20" s="8" t="s">
        <v>65</v>
      </c>
      <c r="D20" s="9">
        <f>2412.15+194.87</f>
        <v>2607.02</v>
      </c>
      <c r="E20" s="9"/>
      <c r="F20" s="9">
        <f>34.54+6.64</f>
        <v>41.18</v>
      </c>
      <c r="G20" s="9"/>
      <c r="H20" s="9"/>
      <c r="I20" s="9"/>
      <c r="J20" s="9"/>
      <c r="K20" s="9">
        <v>0</v>
      </c>
      <c r="L20" s="10">
        <f t="shared" si="0"/>
        <v>2648.2</v>
      </c>
      <c r="M20" s="9">
        <v>238.33</v>
      </c>
      <c r="N20" s="9">
        <v>37.94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1">
        <v>26.07</v>
      </c>
      <c r="U20" s="12">
        <v>32.950000000000003</v>
      </c>
      <c r="V20" s="10">
        <f t="shared" si="4"/>
        <v>335.28999999999996</v>
      </c>
      <c r="W20" s="9">
        <v>0</v>
      </c>
      <c r="X20" s="33">
        <f t="shared" si="2"/>
        <v>2312.91</v>
      </c>
      <c r="Y20" s="9">
        <v>211.85</v>
      </c>
      <c r="Z20" s="9">
        <v>154</v>
      </c>
      <c r="AA20" s="9">
        <v>658.91</v>
      </c>
    </row>
    <row r="21" spans="1:27" x14ac:dyDescent="0.25">
      <c r="A21" s="6" t="s">
        <v>66</v>
      </c>
      <c r="B21" s="7" t="s">
        <v>54</v>
      </c>
      <c r="C21" s="8" t="s">
        <v>71</v>
      </c>
      <c r="D21" s="9">
        <f>8010.33</f>
        <v>8010.33</v>
      </c>
      <c r="E21" s="9"/>
      <c r="F21" s="9">
        <f>22.03+4.24</f>
        <v>26.270000000000003</v>
      </c>
      <c r="G21" s="9"/>
      <c r="H21" s="9"/>
      <c r="I21" s="9"/>
      <c r="J21" s="9"/>
      <c r="K21" s="9"/>
      <c r="L21" s="10">
        <f t="shared" si="0"/>
        <v>8036.6</v>
      </c>
      <c r="M21" s="9">
        <v>608.44000000000005</v>
      </c>
      <c r="N21" s="9">
        <v>1173.3800000000001</v>
      </c>
      <c r="O21" s="9">
        <v>0</v>
      </c>
      <c r="P21" s="9">
        <v>47.69</v>
      </c>
      <c r="Q21" s="9"/>
      <c r="R21" s="9"/>
      <c r="S21" s="9">
        <v>0</v>
      </c>
      <c r="T21" s="11">
        <v>0</v>
      </c>
      <c r="U21" s="12">
        <v>32.950000000000003</v>
      </c>
      <c r="V21" s="10">
        <f t="shared" si="4"/>
        <v>1862.4600000000003</v>
      </c>
      <c r="W21" s="9">
        <v>0</v>
      </c>
      <c r="X21" s="33">
        <f t="shared" si="2"/>
        <v>6174.14</v>
      </c>
      <c r="Y21" s="9">
        <v>642.91999999999996</v>
      </c>
      <c r="Z21" s="9">
        <v>0</v>
      </c>
      <c r="AA21" s="9">
        <v>658.91</v>
      </c>
    </row>
    <row r="22" spans="1:27" x14ac:dyDescent="0.25">
      <c r="A22" s="6" t="s">
        <v>73</v>
      </c>
      <c r="B22" s="7" t="s">
        <v>41</v>
      </c>
      <c r="C22" s="8" t="s">
        <v>65</v>
      </c>
      <c r="D22" s="9">
        <v>766.43</v>
      </c>
      <c r="E22" s="9"/>
      <c r="F22" s="9"/>
      <c r="G22" s="9"/>
      <c r="H22" s="9"/>
      <c r="I22" s="9"/>
      <c r="J22" s="9"/>
      <c r="K22" s="9">
        <f>70+383.21</f>
        <v>453.21</v>
      </c>
      <c r="L22" s="10">
        <f t="shared" si="0"/>
        <v>1219.6399999999999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1">
        <v>0</v>
      </c>
      <c r="U22" s="12">
        <v>0</v>
      </c>
      <c r="V22" s="10">
        <f t="shared" si="4"/>
        <v>0</v>
      </c>
      <c r="W22" s="9">
        <v>0</v>
      </c>
      <c r="X22" s="33">
        <f t="shared" si="2"/>
        <v>1219.6399999999999</v>
      </c>
      <c r="Y22" s="9">
        <v>0</v>
      </c>
      <c r="Z22" s="9">
        <v>0</v>
      </c>
      <c r="AA22" s="9">
        <v>0</v>
      </c>
    </row>
    <row r="23" spans="1:27" x14ac:dyDescent="0.25">
      <c r="A23" s="6" t="s">
        <v>13</v>
      </c>
      <c r="B23" s="7" t="s">
        <v>34</v>
      </c>
      <c r="C23" s="8" t="s">
        <v>65</v>
      </c>
      <c r="D23" s="9">
        <v>8131.87</v>
      </c>
      <c r="E23" s="9"/>
      <c r="F23" s="9"/>
      <c r="G23" s="9"/>
      <c r="H23" s="9"/>
      <c r="I23" s="9"/>
      <c r="J23" s="9"/>
      <c r="K23" s="9"/>
      <c r="L23" s="10">
        <f t="shared" si="0"/>
        <v>8131.87</v>
      </c>
      <c r="M23" s="9">
        <v>608.44000000000005</v>
      </c>
      <c r="N23" s="9">
        <v>851.77</v>
      </c>
      <c r="O23" s="9">
        <v>0</v>
      </c>
      <c r="P23" s="9">
        <v>39.06</v>
      </c>
      <c r="Q23" s="9"/>
      <c r="R23" s="9"/>
      <c r="S23" s="9">
        <v>1264.77</v>
      </c>
      <c r="T23" s="11">
        <v>0</v>
      </c>
      <c r="U23" s="12">
        <v>32.950000000000003</v>
      </c>
      <c r="V23" s="10">
        <f t="shared" si="4"/>
        <v>2796.99</v>
      </c>
      <c r="W23" s="9">
        <v>0</v>
      </c>
      <c r="X23" s="33">
        <f t="shared" si="2"/>
        <v>5334.88</v>
      </c>
      <c r="Y23" s="9">
        <v>650.54</v>
      </c>
      <c r="Z23" s="9">
        <v>0</v>
      </c>
      <c r="AA23" s="9">
        <v>658.91</v>
      </c>
    </row>
    <row r="24" spans="1:27" x14ac:dyDescent="0.25">
      <c r="A24" s="6" t="s">
        <v>14</v>
      </c>
      <c r="B24" s="7" t="s">
        <v>53</v>
      </c>
      <c r="C24" s="8" t="s">
        <v>64</v>
      </c>
      <c r="D24" s="9">
        <f>1772.77</f>
        <v>1772.77</v>
      </c>
      <c r="E24" s="9"/>
      <c r="F24" s="9"/>
      <c r="G24" s="9">
        <f>886.39+4.51+297.03</f>
        <v>1187.9299999999998</v>
      </c>
      <c r="H24" s="9"/>
      <c r="I24" s="9"/>
      <c r="J24" s="9"/>
      <c r="K24" s="9"/>
      <c r="L24" s="10">
        <f t="shared" si="0"/>
        <v>2960.7</v>
      </c>
      <c r="M24" s="9">
        <f>95.03+225.11</f>
        <v>320.14</v>
      </c>
      <c r="N24" s="9">
        <v>0</v>
      </c>
      <c r="O24" s="9">
        <v>19</v>
      </c>
      <c r="P24" s="9">
        <v>26.23</v>
      </c>
      <c r="Q24" s="9">
        <v>50.3</v>
      </c>
      <c r="R24" s="9"/>
      <c r="S24" s="9">
        <v>1092.9000000000001</v>
      </c>
      <c r="T24" s="11">
        <v>17.72</v>
      </c>
      <c r="U24" s="12">
        <v>32.950000000000003</v>
      </c>
      <c r="V24" s="10">
        <f t="shared" ref="V24:V32" si="5">SUM(M24:U24)</f>
        <v>1559.2400000000002</v>
      </c>
      <c r="W24" s="9">
        <v>0</v>
      </c>
      <c r="X24" s="33">
        <f t="shared" si="2"/>
        <v>1401.4599999999996</v>
      </c>
      <c r="Y24" s="9">
        <v>232.83</v>
      </c>
      <c r="Z24" s="9">
        <v>93.52</v>
      </c>
      <c r="AA24" s="9">
        <v>658.91</v>
      </c>
    </row>
    <row r="25" spans="1:27" x14ac:dyDescent="0.25">
      <c r="A25" s="6" t="s">
        <v>15</v>
      </c>
      <c r="B25" s="7" t="s">
        <v>49</v>
      </c>
      <c r="C25" s="8" t="s">
        <v>69</v>
      </c>
      <c r="D25" s="9">
        <v>6847.56</v>
      </c>
      <c r="E25" s="9"/>
      <c r="F25" s="9"/>
      <c r="G25" s="9"/>
      <c r="H25" s="9"/>
      <c r="I25" s="9"/>
      <c r="J25" s="9"/>
      <c r="K25" s="9">
        <v>0</v>
      </c>
      <c r="L25" s="10">
        <f t="shared" si="0"/>
        <v>6847.56</v>
      </c>
      <c r="M25" s="9">
        <v>608.44000000000005</v>
      </c>
      <c r="N25" s="9">
        <v>649.89</v>
      </c>
      <c r="O25" s="9">
        <v>0</v>
      </c>
      <c r="P25" s="9">
        <v>179.11</v>
      </c>
      <c r="Q25" s="9">
        <f>251.08+273.9</f>
        <v>524.98</v>
      </c>
      <c r="R25" s="9">
        <v>0</v>
      </c>
      <c r="S25" s="9">
        <v>0</v>
      </c>
      <c r="T25" s="11">
        <v>0</v>
      </c>
      <c r="U25" s="12">
        <v>32.950000000000003</v>
      </c>
      <c r="V25" s="13">
        <f t="shared" si="5"/>
        <v>1995.3700000000001</v>
      </c>
      <c r="W25" s="9">
        <v>0</v>
      </c>
      <c r="X25" s="33">
        <f t="shared" si="2"/>
        <v>4852.1900000000005</v>
      </c>
      <c r="Y25" s="9">
        <v>505.8</v>
      </c>
      <c r="Z25" s="9">
        <v>0</v>
      </c>
      <c r="AA25" s="9">
        <v>658.91</v>
      </c>
    </row>
    <row r="26" spans="1:27" x14ac:dyDescent="0.25">
      <c r="A26" s="6" t="s">
        <v>55</v>
      </c>
      <c r="B26" s="7" t="s">
        <v>41</v>
      </c>
      <c r="C26" s="8" t="s">
        <v>67</v>
      </c>
      <c r="D26" s="9">
        <v>766.43</v>
      </c>
      <c r="E26" s="9"/>
      <c r="F26" s="9"/>
      <c r="G26" s="9"/>
      <c r="H26" s="9"/>
      <c r="I26" s="9"/>
      <c r="J26" s="9"/>
      <c r="K26" s="9">
        <v>70</v>
      </c>
      <c r="L26" s="10">
        <f>SUM(D26:K26)</f>
        <v>836.43</v>
      </c>
      <c r="M26" s="9">
        <v>0</v>
      </c>
      <c r="N26" s="9">
        <v>0</v>
      </c>
      <c r="O26" s="9">
        <v>0</v>
      </c>
      <c r="P26" s="9">
        <v>0</v>
      </c>
      <c r="Q26" s="9">
        <f>836.43-630</f>
        <v>206.42999999999995</v>
      </c>
      <c r="R26" s="9"/>
      <c r="S26" s="9">
        <v>0</v>
      </c>
      <c r="T26" s="11">
        <v>0</v>
      </c>
      <c r="U26" s="9">
        <v>0</v>
      </c>
      <c r="V26" s="10">
        <f>SUM(M26:U26)</f>
        <v>206.42999999999995</v>
      </c>
      <c r="W26" s="9">
        <v>0</v>
      </c>
      <c r="X26" s="33">
        <f t="shared" si="2"/>
        <v>630</v>
      </c>
      <c r="Y26" s="9">
        <v>0</v>
      </c>
      <c r="Z26" s="9">
        <v>0</v>
      </c>
      <c r="AA26" s="9">
        <v>0</v>
      </c>
    </row>
    <row r="27" spans="1:27" x14ac:dyDescent="0.25">
      <c r="A27" s="6" t="s">
        <v>16</v>
      </c>
      <c r="B27" s="7" t="s">
        <v>54</v>
      </c>
      <c r="C27" s="8" t="s">
        <v>71</v>
      </c>
      <c r="D27" s="9">
        <f>2670.11</f>
        <v>2670.11</v>
      </c>
      <c r="E27" s="9"/>
      <c r="F27" s="9">
        <f>124.16+46.56</f>
        <v>170.72</v>
      </c>
      <c r="G27" s="9">
        <f>5340.22+340.3+11.74+1897.8</f>
        <v>7590.06</v>
      </c>
      <c r="H27" s="9"/>
      <c r="I27" s="9"/>
      <c r="J27" s="9"/>
      <c r="K27" s="9">
        <v>0</v>
      </c>
      <c r="L27" s="10">
        <f t="shared" si="0"/>
        <v>10430.89</v>
      </c>
      <c r="M27" s="9">
        <f>570.88+37.56</f>
        <v>608.44000000000005</v>
      </c>
      <c r="N27" s="9">
        <f>1060.91+67.45</f>
        <v>1128.3600000000001</v>
      </c>
      <c r="O27" s="9">
        <v>19</v>
      </c>
      <c r="P27" s="9">
        <v>39.06</v>
      </c>
      <c r="Q27" s="9">
        <v>0</v>
      </c>
      <c r="R27" s="9"/>
      <c r="S27" s="9">
        <f>5958.27</f>
        <v>5958.27</v>
      </c>
      <c r="T27" s="11">
        <v>0</v>
      </c>
      <c r="U27" s="12">
        <v>32.950000000000003</v>
      </c>
      <c r="V27" s="10">
        <f t="shared" si="5"/>
        <v>7786.0800000000008</v>
      </c>
      <c r="W27" s="9">
        <v>0</v>
      </c>
      <c r="X27" s="33">
        <f t="shared" si="2"/>
        <v>2644.8099999999986</v>
      </c>
      <c r="Y27" s="9">
        <v>834.47</v>
      </c>
      <c r="Z27" s="9">
        <v>0</v>
      </c>
      <c r="AA27" s="9">
        <v>658.91</v>
      </c>
    </row>
    <row r="28" spans="1:27" x14ac:dyDescent="0.25">
      <c r="A28" s="6" t="s">
        <v>17</v>
      </c>
      <c r="B28" s="7" t="s">
        <v>52</v>
      </c>
      <c r="C28" s="8" t="s">
        <v>64</v>
      </c>
      <c r="D28" s="9">
        <v>0</v>
      </c>
      <c r="E28" s="9">
        <v>8170.54</v>
      </c>
      <c r="F28" s="9"/>
      <c r="G28" s="9"/>
      <c r="H28" s="9"/>
      <c r="I28" s="9"/>
      <c r="J28" s="9"/>
      <c r="K28" s="9"/>
      <c r="L28" s="10">
        <f t="shared" si="0"/>
        <v>8170.54</v>
      </c>
      <c r="M28" s="9">
        <v>608.44000000000005</v>
      </c>
      <c r="N28" s="9">
        <v>1158.08</v>
      </c>
      <c r="O28" s="9">
        <v>0</v>
      </c>
      <c r="P28" s="9">
        <v>52.47</v>
      </c>
      <c r="Q28" s="9">
        <v>0</v>
      </c>
      <c r="R28" s="9"/>
      <c r="S28" s="9">
        <v>0</v>
      </c>
      <c r="T28" s="11">
        <v>0</v>
      </c>
      <c r="U28" s="12">
        <v>32.950000000000003</v>
      </c>
      <c r="V28" s="10">
        <f t="shared" si="5"/>
        <v>1851.94</v>
      </c>
      <c r="W28" s="9">
        <v>0</v>
      </c>
      <c r="X28" s="33">
        <f t="shared" si="2"/>
        <v>6318.6</v>
      </c>
      <c r="Y28" s="9">
        <v>653.64</v>
      </c>
      <c r="Z28" s="9">
        <v>0</v>
      </c>
      <c r="AA28" s="9">
        <v>658.91</v>
      </c>
    </row>
    <row r="29" spans="1:27" x14ac:dyDescent="0.25">
      <c r="A29" s="6" t="s">
        <v>18</v>
      </c>
      <c r="B29" s="7" t="s">
        <v>50</v>
      </c>
      <c r="C29" s="8" t="s">
        <v>65</v>
      </c>
      <c r="D29" s="9">
        <f>2559.44+47.58</f>
        <v>2607.02</v>
      </c>
      <c r="E29" s="9"/>
      <c r="F29" s="9"/>
      <c r="G29" s="9"/>
      <c r="H29" s="9"/>
      <c r="I29" s="9"/>
      <c r="J29" s="9"/>
      <c r="K29" s="9"/>
      <c r="L29" s="10">
        <f t="shared" si="0"/>
        <v>2607.02</v>
      </c>
      <c r="M29" s="9">
        <v>215.82</v>
      </c>
      <c r="N29" s="9">
        <v>0</v>
      </c>
      <c r="O29" s="9">
        <v>0</v>
      </c>
      <c r="P29" s="9">
        <v>23.85</v>
      </c>
      <c r="Q29" s="9">
        <v>209</v>
      </c>
      <c r="R29" s="9">
        <v>0</v>
      </c>
      <c r="S29" s="9">
        <v>0</v>
      </c>
      <c r="T29" s="11">
        <v>26.07</v>
      </c>
      <c r="U29" s="12">
        <v>32.950000000000003</v>
      </c>
      <c r="V29" s="10">
        <f t="shared" si="5"/>
        <v>507.68999999999994</v>
      </c>
      <c r="W29" s="9">
        <v>0</v>
      </c>
      <c r="X29" s="33">
        <f t="shared" si="2"/>
        <v>2099.33</v>
      </c>
      <c r="Y29" s="9">
        <v>191.84</v>
      </c>
      <c r="Z29" s="9">
        <v>146.95999999999998</v>
      </c>
      <c r="AA29" s="9">
        <v>658.91</v>
      </c>
    </row>
    <row r="30" spans="1:27" x14ac:dyDescent="0.25">
      <c r="A30" s="6" t="s">
        <v>19</v>
      </c>
      <c r="B30" s="7" t="s">
        <v>60</v>
      </c>
      <c r="C30" s="8" t="s">
        <v>63</v>
      </c>
      <c r="D30" s="9">
        <v>8131.87</v>
      </c>
      <c r="E30" s="9"/>
      <c r="F30" s="9"/>
      <c r="G30" s="9"/>
      <c r="H30" s="9"/>
      <c r="I30" s="9"/>
      <c r="J30" s="9"/>
      <c r="K30" s="9"/>
      <c r="L30" s="10">
        <f t="shared" si="0"/>
        <v>8131.87</v>
      </c>
      <c r="M30" s="9">
        <v>608.44000000000005</v>
      </c>
      <c r="N30" s="9">
        <v>1199.58</v>
      </c>
      <c r="O30" s="9">
        <v>19</v>
      </c>
      <c r="P30" s="9">
        <v>23.85</v>
      </c>
      <c r="Q30" s="9">
        <v>0</v>
      </c>
      <c r="R30" s="9"/>
      <c r="S30" s="9">
        <v>0</v>
      </c>
      <c r="T30" s="11">
        <v>0</v>
      </c>
      <c r="U30" s="12">
        <v>32.950000000000003</v>
      </c>
      <c r="V30" s="10">
        <f t="shared" si="5"/>
        <v>1883.82</v>
      </c>
      <c r="W30" s="9">
        <v>0</v>
      </c>
      <c r="X30" s="33">
        <f t="shared" si="2"/>
        <v>6248.05</v>
      </c>
      <c r="Y30" s="9">
        <v>650.54</v>
      </c>
      <c r="Z30" s="9">
        <v>0</v>
      </c>
      <c r="AA30" s="9">
        <v>658.91</v>
      </c>
    </row>
    <row r="31" spans="1:27" x14ac:dyDescent="0.25">
      <c r="A31" s="6" t="s">
        <v>39</v>
      </c>
      <c r="B31" s="7" t="s">
        <v>40</v>
      </c>
      <c r="C31" s="8" t="s">
        <v>69</v>
      </c>
      <c r="D31" s="9">
        <v>766.43</v>
      </c>
      <c r="E31" s="9"/>
      <c r="F31" s="9"/>
      <c r="G31" s="9"/>
      <c r="H31" s="9"/>
      <c r="I31" s="9"/>
      <c r="J31" s="9"/>
      <c r="K31" s="9">
        <v>70</v>
      </c>
      <c r="L31" s="10">
        <f t="shared" si="0"/>
        <v>836.43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/>
      <c r="S31" s="9">
        <v>0</v>
      </c>
      <c r="T31" s="11">
        <v>0</v>
      </c>
      <c r="U31" s="9">
        <v>0</v>
      </c>
      <c r="V31" s="10">
        <f t="shared" si="5"/>
        <v>0</v>
      </c>
      <c r="W31" s="9">
        <v>0</v>
      </c>
      <c r="X31" s="33">
        <f t="shared" si="2"/>
        <v>836.43</v>
      </c>
      <c r="Y31" s="9">
        <v>0</v>
      </c>
      <c r="Z31" s="9">
        <v>0</v>
      </c>
      <c r="AA31" s="9">
        <v>0</v>
      </c>
    </row>
    <row r="32" spans="1:27" s="5" customFormat="1" x14ac:dyDescent="0.25">
      <c r="A32" s="21" t="s">
        <v>46</v>
      </c>
      <c r="B32" s="7" t="s">
        <v>26</v>
      </c>
      <c r="C32" s="7" t="s">
        <v>68</v>
      </c>
      <c r="D32" s="9">
        <v>10561.63</v>
      </c>
      <c r="E32" s="9"/>
      <c r="F32" s="9"/>
      <c r="G32" s="9"/>
      <c r="H32" s="9"/>
      <c r="I32" s="9"/>
      <c r="J32" s="9"/>
      <c r="K32" s="9">
        <v>0</v>
      </c>
      <c r="L32" s="10">
        <f t="shared" si="0"/>
        <v>10561.63</v>
      </c>
      <c r="M32" s="12">
        <v>471</v>
      </c>
      <c r="N32" s="12">
        <v>221.32</v>
      </c>
      <c r="O32" s="12">
        <v>0</v>
      </c>
      <c r="P32" s="9">
        <v>0</v>
      </c>
      <c r="Q32" s="12"/>
      <c r="R32" s="12"/>
      <c r="S32" s="12">
        <v>0</v>
      </c>
      <c r="T32" s="11">
        <v>0</v>
      </c>
      <c r="U32" s="12">
        <v>32.950000000000003</v>
      </c>
      <c r="V32" s="10">
        <f t="shared" si="5"/>
        <v>725.27</v>
      </c>
      <c r="W32" s="9">
        <v>0</v>
      </c>
      <c r="X32" s="33">
        <f t="shared" si="2"/>
        <v>9836.3599999999988</v>
      </c>
      <c r="Y32" s="9">
        <v>342.54</v>
      </c>
      <c r="Z32" s="9">
        <v>0</v>
      </c>
      <c r="AA32" s="9">
        <v>658.91</v>
      </c>
    </row>
    <row r="33" spans="1:27" x14ac:dyDescent="0.25">
      <c r="A33" s="6" t="s">
        <v>20</v>
      </c>
      <c r="B33" s="7" t="s">
        <v>53</v>
      </c>
      <c r="C33" s="8" t="s">
        <v>64</v>
      </c>
      <c r="D33" s="9">
        <f>2611.52+47.64</f>
        <v>2659.16</v>
      </c>
      <c r="E33" s="9"/>
      <c r="F33" s="9">
        <f>3.66+0.7</f>
        <v>4.3600000000000003</v>
      </c>
      <c r="G33" s="9"/>
      <c r="H33" s="9"/>
      <c r="I33" s="9"/>
      <c r="J33" s="9"/>
      <c r="K33" s="9"/>
      <c r="L33" s="10">
        <f t="shared" si="0"/>
        <v>2663.52</v>
      </c>
      <c r="M33" s="9">
        <v>235.52</v>
      </c>
      <c r="N33" s="9">
        <v>35.81</v>
      </c>
      <c r="O33" s="9">
        <v>19</v>
      </c>
      <c r="P33" s="9">
        <v>23.85</v>
      </c>
      <c r="Q33" s="9">
        <v>46.54</v>
      </c>
      <c r="R33" s="9"/>
      <c r="S33" s="9">
        <v>0</v>
      </c>
      <c r="T33" s="11">
        <v>26.59</v>
      </c>
      <c r="U33" s="12">
        <v>32.950000000000003</v>
      </c>
      <c r="V33" s="10">
        <f t="shared" ref="V33:V36" si="6">SUM(M33:U33)</f>
        <v>420.26000000000005</v>
      </c>
      <c r="W33" s="9">
        <v>0</v>
      </c>
      <c r="X33" s="33">
        <f t="shared" si="2"/>
        <v>2243.2599999999998</v>
      </c>
      <c r="Y33" s="9">
        <v>209.35</v>
      </c>
      <c r="Z33" s="9">
        <v>146.95999999999998</v>
      </c>
      <c r="AA33" s="9">
        <v>658.91</v>
      </c>
    </row>
    <row r="34" spans="1:27" x14ac:dyDescent="0.25">
      <c r="A34" s="6" t="s">
        <v>21</v>
      </c>
      <c r="B34" s="7" t="s">
        <v>28</v>
      </c>
      <c r="C34" s="8" t="s">
        <v>70</v>
      </c>
      <c r="D34" s="9">
        <f>3364.33+71.58</f>
        <v>3435.91</v>
      </c>
      <c r="E34" s="9"/>
      <c r="F34" s="9">
        <f>31.78+6.11</f>
        <v>37.89</v>
      </c>
      <c r="G34" s="9"/>
      <c r="H34" s="9"/>
      <c r="I34" s="9"/>
      <c r="J34" s="9"/>
      <c r="K34" s="9"/>
      <c r="L34" s="10">
        <f t="shared" si="0"/>
        <v>3473.7999999999997</v>
      </c>
      <c r="M34" s="9">
        <v>373.7</v>
      </c>
      <c r="N34" s="9">
        <v>98.75</v>
      </c>
      <c r="O34" s="9">
        <v>0</v>
      </c>
      <c r="P34" s="9">
        <v>219.13</v>
      </c>
      <c r="Q34" s="9">
        <v>76.45</v>
      </c>
      <c r="R34" s="9"/>
      <c r="S34" s="9">
        <v>0</v>
      </c>
      <c r="T34" s="11">
        <v>34.35</v>
      </c>
      <c r="U34" s="12">
        <v>32.950000000000003</v>
      </c>
      <c r="V34" s="10">
        <f t="shared" si="6"/>
        <v>835.33</v>
      </c>
      <c r="W34" s="9">
        <v>0</v>
      </c>
      <c r="X34" s="33">
        <f t="shared" si="2"/>
        <v>2638.47</v>
      </c>
      <c r="Y34" s="9">
        <v>271.77999999999997</v>
      </c>
      <c r="Z34" s="9">
        <v>146.95999999999998</v>
      </c>
      <c r="AA34" s="9">
        <v>658.91</v>
      </c>
    </row>
    <row r="35" spans="1:27" x14ac:dyDescent="0.25">
      <c r="A35" s="6" t="s">
        <v>22</v>
      </c>
      <c r="B35" s="7" t="s">
        <v>54</v>
      </c>
      <c r="C35" s="8" t="s">
        <v>71</v>
      </c>
      <c r="D35" s="9">
        <f>2724.85+479.28</f>
        <v>3204.13</v>
      </c>
      <c r="E35" s="9"/>
      <c r="F35" s="9">
        <f>210.27+63.08</f>
        <v>273.35000000000002</v>
      </c>
      <c r="G35" s="9">
        <f>4806.2+129.77+1645.65</f>
        <v>6581.6200000000008</v>
      </c>
      <c r="H35" s="9"/>
      <c r="I35" s="9"/>
      <c r="J35" s="9"/>
      <c r="K35" s="9"/>
      <c r="L35" s="10">
        <f t="shared" si="0"/>
        <v>10059.1</v>
      </c>
      <c r="M35" s="9">
        <f>570.88+37.56</f>
        <v>608.44000000000005</v>
      </c>
      <c r="N35" s="9">
        <f>109.82+783.59</f>
        <v>893.41000000000008</v>
      </c>
      <c r="O35" s="9">
        <v>19</v>
      </c>
      <c r="P35" s="9">
        <v>52.47</v>
      </c>
      <c r="Q35" s="9">
        <f>342.44</f>
        <v>342.44</v>
      </c>
      <c r="R35" s="9"/>
      <c r="S35" s="9">
        <f>5227.15</f>
        <v>5227.1499999999996</v>
      </c>
      <c r="T35" s="11">
        <v>0</v>
      </c>
      <c r="U35" s="12">
        <v>32.950000000000003</v>
      </c>
      <c r="V35" s="10">
        <f t="shared" si="6"/>
        <v>7175.86</v>
      </c>
      <c r="W35" s="9">
        <v>0</v>
      </c>
      <c r="X35" s="33">
        <f t="shared" si="2"/>
        <v>2883.2400000000007</v>
      </c>
      <c r="Y35" s="9">
        <v>777.33</v>
      </c>
      <c r="Z35" s="9">
        <v>0</v>
      </c>
      <c r="AA35" s="9">
        <v>658.91</v>
      </c>
    </row>
    <row r="36" spans="1:27" x14ac:dyDescent="0.25">
      <c r="A36" s="6" t="s">
        <v>23</v>
      </c>
      <c r="B36" s="7" t="s">
        <v>50</v>
      </c>
      <c r="C36" s="8" t="s">
        <v>65</v>
      </c>
      <c r="D36" s="9">
        <f>2577.69+29.33</f>
        <v>2607.02</v>
      </c>
      <c r="E36" s="9"/>
      <c r="F36" s="9"/>
      <c r="G36" s="9"/>
      <c r="H36" s="9"/>
      <c r="I36" s="9"/>
      <c r="J36" s="9"/>
      <c r="K36" s="9"/>
      <c r="L36" s="10">
        <f t="shared" si="0"/>
        <v>2607.02</v>
      </c>
      <c r="M36" s="9">
        <v>232.44</v>
      </c>
      <c r="N36" s="9">
        <v>33.47</v>
      </c>
      <c r="O36" s="9">
        <v>0</v>
      </c>
      <c r="P36" s="9">
        <v>19.53</v>
      </c>
      <c r="Q36" s="9">
        <v>24.33</v>
      </c>
      <c r="R36" s="9"/>
      <c r="S36" s="9">
        <v>0</v>
      </c>
      <c r="T36" s="11">
        <v>26.07</v>
      </c>
      <c r="U36" s="12">
        <v>32.950000000000003</v>
      </c>
      <c r="V36" s="10">
        <f t="shared" si="6"/>
        <v>368.78999999999991</v>
      </c>
      <c r="W36" s="9">
        <v>0</v>
      </c>
      <c r="X36" s="33">
        <f t="shared" si="2"/>
        <v>2238.23</v>
      </c>
      <c r="Y36" s="9">
        <v>206.61</v>
      </c>
      <c r="Z36" s="9">
        <v>146.95999999999998</v>
      </c>
      <c r="AA36" s="9">
        <v>658.91</v>
      </c>
    </row>
    <row r="37" spans="1:27" x14ac:dyDescent="0.25">
      <c r="A37" s="22"/>
      <c r="B37" s="23"/>
      <c r="C37" s="23"/>
      <c r="D37" s="10"/>
      <c r="E37" s="10"/>
      <c r="F37" s="10"/>
      <c r="G37" s="10"/>
      <c r="H37" s="10"/>
      <c r="I37" s="10"/>
      <c r="J37" s="10"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3"/>
      <c r="Y37" s="10"/>
      <c r="Z37" s="10">
        <v>0</v>
      </c>
      <c r="AA37" s="10"/>
    </row>
    <row r="38" spans="1:27" s="24" customFormat="1" x14ac:dyDescent="0.25">
      <c r="A38" s="22" t="s">
        <v>99</v>
      </c>
      <c r="B38" s="23"/>
      <c r="C38" s="23"/>
      <c r="D38" s="10">
        <f t="shared" ref="D38:U38" si="7">SUM(D5:D37)</f>
        <v>139220.78999999998</v>
      </c>
      <c r="E38" s="10">
        <f t="shared" si="7"/>
        <v>20320.239999999998</v>
      </c>
      <c r="F38" s="10">
        <f t="shared" si="7"/>
        <v>599.40000000000009</v>
      </c>
      <c r="G38" s="10">
        <f t="shared" si="7"/>
        <v>25813.14</v>
      </c>
      <c r="H38" s="10">
        <f t="shared" si="7"/>
        <v>0</v>
      </c>
      <c r="I38" s="10">
        <f t="shared" si="7"/>
        <v>0</v>
      </c>
      <c r="J38" s="10">
        <f t="shared" si="7"/>
        <v>0</v>
      </c>
      <c r="K38" s="10">
        <f t="shared" si="7"/>
        <v>733.21</v>
      </c>
      <c r="L38" s="10">
        <f>SUM(L5:L37)</f>
        <v>186686.77999999994</v>
      </c>
      <c r="M38" s="10">
        <f t="shared" si="7"/>
        <v>11904.190000000004</v>
      </c>
      <c r="N38" s="10">
        <f t="shared" si="7"/>
        <v>18025.47</v>
      </c>
      <c r="O38" s="10">
        <f t="shared" si="7"/>
        <v>171</v>
      </c>
      <c r="P38" s="10">
        <f t="shared" si="7"/>
        <v>2202.4099999999994</v>
      </c>
      <c r="Q38" s="10">
        <f t="shared" si="7"/>
        <v>1757.8999999999999</v>
      </c>
      <c r="R38" s="10">
        <f t="shared" si="7"/>
        <v>0</v>
      </c>
      <c r="S38" s="10">
        <f t="shared" si="7"/>
        <v>24737.800000000003</v>
      </c>
      <c r="T38" s="10">
        <f t="shared" si="7"/>
        <v>372.35999999999996</v>
      </c>
      <c r="U38" s="10">
        <f t="shared" si="7"/>
        <v>889.65000000000043</v>
      </c>
      <c r="V38" s="10">
        <f>SUM(M38:U38)</f>
        <v>60060.780000000006</v>
      </c>
      <c r="W38" s="10">
        <f>SUM(W5:W37)</f>
        <v>0</v>
      </c>
      <c r="X38" s="13">
        <f>SUM(X5:X37)</f>
        <v>126626.00000000001</v>
      </c>
      <c r="Y38" s="10">
        <f>SUM(Y5:Y37)</f>
        <v>13360.08</v>
      </c>
      <c r="Z38" s="10">
        <f>SUM(Z5:Z37)</f>
        <v>1529.24</v>
      </c>
      <c r="AA38" s="10">
        <f>SUM(AA5:AA37)</f>
        <v>17790.57</v>
      </c>
    </row>
    <row r="39" spans="1:27" s="24" customFormat="1" x14ac:dyDescent="0.25">
      <c r="A39" s="25" t="s">
        <v>98</v>
      </c>
      <c r="B39" s="26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W39" s="28"/>
      <c r="X39" s="24" t="s">
        <v>38</v>
      </c>
      <c r="AA39" s="29"/>
    </row>
    <row r="40" spans="1:27" s="24" customFormat="1" x14ac:dyDescent="0.25">
      <c r="A40" s="25" t="s">
        <v>61</v>
      </c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 t="s">
        <v>38</v>
      </c>
      <c r="X40" s="28" t="s">
        <v>38</v>
      </c>
      <c r="AA40" s="29" t="s">
        <v>38</v>
      </c>
    </row>
  </sheetData>
  <mergeCells count="31">
    <mergeCell ref="G1:P1"/>
    <mergeCell ref="Z3:Z4"/>
    <mergeCell ref="AA3:AA4"/>
    <mergeCell ref="Y3:Y4"/>
    <mergeCell ref="Y2:AA2"/>
    <mergeCell ref="M2:V2"/>
    <mergeCell ref="W2:X2"/>
    <mergeCell ref="V3:V4"/>
    <mergeCell ref="X3:X4"/>
    <mergeCell ref="W3:W4"/>
    <mergeCell ref="S3:S4"/>
    <mergeCell ref="T3:U3"/>
    <mergeCell ref="R3:R4"/>
    <mergeCell ref="M3:M4"/>
    <mergeCell ref="N3:N4"/>
    <mergeCell ref="O3:O4"/>
    <mergeCell ref="B2:B4"/>
    <mergeCell ref="A2:A4"/>
    <mergeCell ref="Q3:Q4"/>
    <mergeCell ref="P3:P4"/>
    <mergeCell ref="D3:D4"/>
    <mergeCell ref="E3:E4"/>
    <mergeCell ref="F3:F4"/>
    <mergeCell ref="G3:G4"/>
    <mergeCell ref="I3:I4"/>
    <mergeCell ref="H3:H4"/>
    <mergeCell ref="C2:C4"/>
    <mergeCell ref="D2:L2"/>
    <mergeCell ref="J3:J4"/>
    <mergeCell ref="L3:L4"/>
    <mergeCell ref="K3:K4"/>
  </mergeCells>
  <pageMargins left="0.39370078740157483" right="0.27559055118110237" top="1.1811023622047245" bottom="0.39370078740157483" header="0.31496062992125984" footer="0.31496062992125984"/>
  <pageSetup paperSize="9" scale="93" fitToWidth="0" orientation="landscape" r:id="rId1"/>
  <headerFooter>
    <oddHeader xml:space="preserve">&amp;R&amp;"Arial,Negrito"&amp;12DEMONSTRATIVO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012017</vt:lpstr>
      <vt:lpstr>'Folha 012017'!Titulos_de_impressao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L.G. Ferreira</dc:creator>
  <cp:lastModifiedBy>Helen Germann Patricio</cp:lastModifiedBy>
  <cp:lastPrinted>2017-09-22T17:48:08Z</cp:lastPrinted>
  <dcterms:created xsi:type="dcterms:W3CDTF">2016-01-08T13:50:30Z</dcterms:created>
  <dcterms:modified xsi:type="dcterms:W3CDTF">2017-09-22T18:17:26Z</dcterms:modified>
</cp:coreProperties>
</file>