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1\"/>
    </mc:Choice>
  </mc:AlternateContent>
  <bookViews>
    <workbookView xWindow="480" yWindow="660" windowWidth="19875" windowHeight="7410" tabRatio="422"/>
  </bookViews>
  <sheets>
    <sheet name="Folha 062021" sheetId="2" r:id="rId1"/>
  </sheets>
  <definedNames>
    <definedName name="_xlnm.Print_Area" localSheetId="0">'Folha 062021'!$A$1:$AA$47</definedName>
    <definedName name="Dias_úteis" localSheetId="0">'Folha 062021'!$D$2</definedName>
    <definedName name="_xlnm.Print_Titles" localSheetId="0">'Folha 062021'!$A:$B</definedName>
  </definedNames>
  <calcPr calcId="162913"/>
</workbook>
</file>

<file path=xl/calcChain.xml><?xml version="1.0" encoding="utf-8"?>
<calcChain xmlns="http://schemas.openxmlformats.org/spreadsheetml/2006/main">
  <c r="V23" i="2" l="1"/>
  <c r="V31" i="2"/>
  <c r="V37" i="2"/>
  <c r="C26" i="2" l="1"/>
  <c r="Y40" i="2" l="1"/>
  <c r="Y33" i="2"/>
  <c r="Y28" i="2"/>
  <c r="Y18" i="2"/>
  <c r="Y15" i="2"/>
  <c r="Y14" i="2"/>
  <c r="Y11" i="2"/>
  <c r="S40" i="2"/>
  <c r="N40" i="2"/>
  <c r="M40" i="2"/>
  <c r="G40" i="2"/>
  <c r="S7" i="2" l="1"/>
  <c r="G7" i="2"/>
  <c r="K7" i="2"/>
  <c r="C21" i="2" l="1"/>
  <c r="S33" i="2" l="1"/>
  <c r="M33" i="2"/>
  <c r="G33" i="2"/>
  <c r="S15" i="2"/>
  <c r="N15" i="2"/>
  <c r="M15" i="2"/>
  <c r="G15" i="2"/>
  <c r="M11" i="2"/>
  <c r="I11" i="2"/>
  <c r="G11" i="2"/>
  <c r="N14" i="2"/>
  <c r="M14" i="2"/>
  <c r="M28" i="2"/>
  <c r="M18" i="2"/>
  <c r="P41" i="2"/>
  <c r="V39" i="2"/>
  <c r="L39" i="2"/>
  <c r="X39" i="2" s="1"/>
  <c r="L37" i="2"/>
  <c r="N33" i="2"/>
  <c r="L31" i="2"/>
  <c r="P29" i="2"/>
  <c r="C45" i="2"/>
  <c r="L23" i="2"/>
  <c r="P22" i="2"/>
  <c r="P17" i="2"/>
  <c r="P15" i="2"/>
  <c r="V10" i="2"/>
  <c r="L10" i="2"/>
  <c r="X10" i="2" s="1"/>
  <c r="P9" i="2"/>
  <c r="P7" i="2"/>
  <c r="X37" i="2" l="1"/>
  <c r="X31" i="2"/>
  <c r="X23" i="2"/>
  <c r="P5" i="2"/>
  <c r="V17" i="2" l="1"/>
  <c r="V27" i="2"/>
  <c r="V16" i="2"/>
  <c r="V19" i="2"/>
  <c r="L13" i="2"/>
  <c r="L32" i="2"/>
  <c r="L19" i="2"/>
  <c r="V42" i="2"/>
  <c r="V43" i="2"/>
  <c r="V44" i="2"/>
  <c r="V5" i="2"/>
  <c r="V6" i="2"/>
  <c r="V7" i="2"/>
  <c r="V8" i="2"/>
  <c r="V9" i="2"/>
  <c r="V11" i="2"/>
  <c r="V12" i="2"/>
  <c r="V14" i="2"/>
  <c r="V15" i="2"/>
  <c r="V18" i="2"/>
  <c r="V20" i="2"/>
  <c r="V21" i="2"/>
  <c r="V22" i="2"/>
  <c r="V24" i="2"/>
  <c r="V25" i="2"/>
  <c r="V26" i="2"/>
  <c r="V28" i="2"/>
  <c r="V29" i="2"/>
  <c r="V30" i="2"/>
  <c r="V32" i="2"/>
  <c r="V33" i="2"/>
  <c r="V34" i="2"/>
  <c r="V35" i="2"/>
  <c r="V36" i="2"/>
  <c r="V38" i="2"/>
  <c r="V40" i="2"/>
  <c r="V41" i="2"/>
  <c r="V4" i="2"/>
  <c r="L5" i="2"/>
  <c r="L6" i="2"/>
  <c r="L7" i="2"/>
  <c r="L8" i="2"/>
  <c r="L9" i="2"/>
  <c r="L11" i="2"/>
  <c r="L12" i="2"/>
  <c r="L14" i="2"/>
  <c r="L15" i="2"/>
  <c r="L16" i="2"/>
  <c r="L17" i="2"/>
  <c r="L18" i="2"/>
  <c r="L20" i="2"/>
  <c r="L21" i="2"/>
  <c r="L22" i="2"/>
  <c r="L24" i="2"/>
  <c r="L25" i="2"/>
  <c r="L26" i="2"/>
  <c r="L27" i="2"/>
  <c r="L28" i="2"/>
  <c r="L29" i="2"/>
  <c r="L30" i="2"/>
  <c r="L33" i="2"/>
  <c r="L34" i="2"/>
  <c r="L35" i="2"/>
  <c r="L36" i="2"/>
  <c r="L38" i="2"/>
  <c r="L40" i="2"/>
  <c r="L41" i="2"/>
  <c r="L42" i="2"/>
  <c r="L43" i="2"/>
  <c r="L44" i="2"/>
  <c r="L4" i="2"/>
  <c r="D45" i="2"/>
  <c r="E45" i="2"/>
  <c r="F45" i="2"/>
  <c r="H45" i="2"/>
  <c r="J45" i="2"/>
  <c r="K45" i="2"/>
  <c r="M45" i="2"/>
  <c r="O45" i="2"/>
  <c r="P45" i="2"/>
  <c r="Q45" i="2"/>
  <c r="R45" i="2"/>
  <c r="T45" i="2"/>
  <c r="U45" i="2"/>
  <c r="W45" i="2"/>
  <c r="Z45" i="2"/>
  <c r="AA45" i="2"/>
  <c r="X44" i="2" l="1"/>
  <c r="X26" i="2"/>
  <c r="X21" i="2"/>
  <c r="X41" i="2"/>
  <c r="X36" i="2"/>
  <c r="X35" i="2"/>
  <c r="X24" i="2"/>
  <c r="X43" i="2"/>
  <c r="X38" i="2"/>
  <c r="X33" i="2"/>
  <c r="X22" i="2"/>
  <c r="X40" i="2"/>
  <c r="X18" i="2"/>
  <c r="X42" i="2"/>
  <c r="X30" i="2"/>
  <c r="X11" i="2"/>
  <c r="X4" i="2"/>
  <c r="X29" i="2"/>
  <c r="X15" i="2"/>
  <c r="X6" i="2"/>
  <c r="X25" i="2"/>
  <c r="X20" i="2"/>
  <c r="X16" i="2"/>
  <c r="X28" i="2"/>
  <c r="X14" i="2"/>
  <c r="X9" i="2"/>
  <c r="X7" i="2"/>
  <c r="X12" i="2"/>
  <c r="X8" i="2"/>
  <c r="X5" i="2"/>
  <c r="X27" i="2"/>
  <c r="X34" i="2"/>
  <c r="X17" i="2"/>
  <c r="X32" i="2"/>
  <c r="Y45" i="2"/>
  <c r="N45" i="2"/>
  <c r="X19" i="2"/>
  <c r="I45" i="2"/>
  <c r="G45" i="2"/>
  <c r="L45" i="2"/>
  <c r="S45" i="2" l="1"/>
  <c r="V13" i="2"/>
  <c r="V45" i="2" s="1"/>
  <c r="X13" i="2" l="1"/>
  <c r="X45" i="2" s="1"/>
</calcChain>
</file>

<file path=xl/sharedStrings.xml><?xml version="1.0" encoding="utf-8"?>
<sst xmlns="http://schemas.openxmlformats.org/spreadsheetml/2006/main" count="117" uniqueCount="115">
  <si>
    <t>Nome</t>
  </si>
  <si>
    <t>CARGO</t>
  </si>
  <si>
    <t>Alexandre Junckes Jacques</t>
  </si>
  <si>
    <t>Filipe Lima Rockenbach</t>
  </si>
  <si>
    <t>Isabel Leal Marcon Leonetti</t>
  </si>
  <si>
    <t>Isabella Pereira de Sousa</t>
  </si>
  <si>
    <t>Luiza Mecabo</t>
  </si>
  <si>
    <t>Mayara Regina de Souza</t>
  </si>
  <si>
    <t>Melina Valença Marcondes</t>
  </si>
  <si>
    <t>Nayana Maria de Oliveira</t>
  </si>
  <si>
    <t>Rodrigo David Barros Silva</t>
  </si>
  <si>
    <t>Tatiana Moreira Feres de Melo</t>
  </si>
  <si>
    <t>Yve Sarkis da Costa</t>
  </si>
  <si>
    <t>Gerente Técnica</t>
  </si>
  <si>
    <t>Gerente Geral</t>
  </si>
  <si>
    <t>REMUNERAÇÕES + BENEFÍCIOS em R$</t>
  </si>
  <si>
    <t>DESCONTOS R$</t>
  </si>
  <si>
    <t>Coordenador de TI</t>
  </si>
  <si>
    <t>Liquidos</t>
  </si>
  <si>
    <t>Auxilios e Beneficios</t>
  </si>
  <si>
    <t>Auxílios EXTRAS</t>
  </si>
  <si>
    <t>Andrea Beatriz Fritz Bueno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</si>
  <si>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</si>
  <si>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</si>
  <si>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</si>
  <si>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</si>
  <si>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</si>
  <si>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</si>
  <si>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</si>
  <si>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</si>
  <si>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</si>
  <si>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</si>
  <si>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</si>
  <si>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</si>
  <si>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</si>
  <si>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</si>
  <si>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</si>
  <si>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</si>
  <si>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</si>
  <si>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</si>
  <si>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</si>
  <si>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</si>
  <si>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</si>
  <si>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</si>
  <si>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</si>
  <si>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</si>
  <si>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Wilson Molin Junior</t>
  </si>
  <si>
    <t>Fernando de Oliveira Volkmer</t>
  </si>
  <si>
    <t>Helen Germann Patricio</t>
  </si>
  <si>
    <t>Leticia Hasckel Gewehr</t>
  </si>
  <si>
    <t>Lilian Laudina Caovilla</t>
  </si>
  <si>
    <t>Fernando Augusto Yudyro Hayashi</t>
  </si>
  <si>
    <t>Marina Lemos Lameiras</t>
  </si>
  <si>
    <t>Assessora Jurídica</t>
  </si>
  <si>
    <t>Função Gratificada</t>
  </si>
  <si>
    <t>Leonardo Vistuba Kawa</t>
  </si>
  <si>
    <t>Isabela Souza de Borba</t>
  </si>
  <si>
    <t>Laraue Pommerening</t>
  </si>
  <si>
    <t>Arquiteto Fiscal V</t>
  </si>
  <si>
    <t>Lilian Arrussul Jacques</t>
  </si>
  <si>
    <t>Plano de Saúde
R$</t>
  </si>
  <si>
    <t>Thiago Pereira Martins</t>
  </si>
  <si>
    <t xml:space="preserve">Cicero Hipólito da Silva Junior </t>
  </si>
  <si>
    <t>Israel Martins</t>
  </si>
  <si>
    <t>Olavo Coelho Arantes</t>
  </si>
  <si>
    <t>Felipe Wagner da Silva</t>
  </si>
  <si>
    <t>Franciani Rosalia Rigoni</t>
  </si>
  <si>
    <t>Afonso Arlindo Costa</t>
  </si>
  <si>
    <t>Estagiário GERTEC</t>
  </si>
  <si>
    <t>Arquiteta Fiscal IX</t>
  </si>
  <si>
    <t>Advogado II</t>
  </si>
  <si>
    <t>Assistente Administrativo XI</t>
  </si>
  <si>
    <t>Arquiteto e Urbanista VI</t>
  </si>
  <si>
    <t>Analista Técnica IX</t>
  </si>
  <si>
    <t>Advogada IV</t>
  </si>
  <si>
    <t>Assistente Administrativa III</t>
  </si>
  <si>
    <t>Assistente Administrativa II</t>
  </si>
  <si>
    <t>Arquiteto Fiscal VII</t>
  </si>
  <si>
    <t>Assistente Administrativa VII</t>
  </si>
  <si>
    <t>Gerente de Fiscalização</t>
  </si>
  <si>
    <t>Analista Técnica VII</t>
  </si>
  <si>
    <t>Analista Administrativo Financeiro</t>
  </si>
  <si>
    <t>Assistente Técnico VI</t>
  </si>
  <si>
    <t>Técnico em Secretariado XII</t>
  </si>
  <si>
    <t>Assistente Administrativo IX</t>
  </si>
  <si>
    <t>Jaime Texeira Chaves</t>
  </si>
  <si>
    <t>Larissa Milioli</t>
  </si>
  <si>
    <t>Thiago Vinicius Pedroso</t>
  </si>
  <si>
    <t>Jacqueline dos Santos Soares da Silva</t>
  </si>
  <si>
    <t>Bruna Porto Martins*</t>
  </si>
  <si>
    <t>Estagiário GERFISC Joinville</t>
  </si>
  <si>
    <t>Assistente Técnico V</t>
  </si>
  <si>
    <t>Assistente Administrativo VI</t>
  </si>
  <si>
    <t>Gerente Administrativo e Financeiro</t>
  </si>
  <si>
    <t>Estagiária ASSJUR</t>
  </si>
  <si>
    <t>Assessora Especial Presidência</t>
  </si>
  <si>
    <t>Arquiteto e Urbanista IV</t>
  </si>
  <si>
    <t>Analista de Compras, Contratos e Licitações X</t>
  </si>
  <si>
    <t>Assistente Técnica VIII</t>
  </si>
  <si>
    <t>Analista Administ./Finan. IX</t>
  </si>
  <si>
    <t>Estagiário GERAF</t>
  </si>
  <si>
    <t>* Empregadas em Auxílio-Doença INSS</t>
  </si>
  <si>
    <t>Carmen Eugenia Alvarez Patron*</t>
  </si>
  <si>
    <t>Estagiário ASSESP</t>
  </si>
  <si>
    <t>Juliana Donato Tacini</t>
  </si>
  <si>
    <t>Assistente Administrativa I</t>
  </si>
  <si>
    <t>Arquiteto e Urbanista</t>
  </si>
  <si>
    <t>Maria Tereza Amorim Falcão</t>
  </si>
  <si>
    <t>Patrícia Schmitt Souza</t>
  </si>
  <si>
    <t>Técnico em Secretariado I</t>
  </si>
  <si>
    <t>Ethieny Rossato Kramer</t>
  </si>
  <si>
    <t>Rolando José Garcia Andrade</t>
  </si>
  <si>
    <t>Técnica em Secretariado XII</t>
  </si>
  <si>
    <t>Analista Administ./Finan. XIV</t>
  </si>
  <si>
    <t>Publicado em 08/09/2021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</si>
</sst>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showGridLines="0" tabSelected="1" zoomScaleNormal="100" zoomScaleSheetLayoutView="10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H39" sqref="H39"/>
    </sheetView>
  </sheetViews>
  <sheetFormatPr defaultColWidth="11.28515625" defaultRowHeight="11.25" x14ac:dyDescent="0.25"/>
  <cols>
    <col min="1" max="1" width="27.7109375" style="1" customWidth="1"/>
    <col min="2" max="2" width="33.85546875" style="28" hidden="1" customWidth="1"/>
    <col min="3" max="3" width="9.85546875" style="2" bestFit="1" customWidth="1"/>
    <col min="4" max="4" width="10.7109375" style="2" customWidth="1"/>
    <col min="5" max="5" width="11.140625" style="2" customWidth="1"/>
    <col min="6" max="6" width="8.85546875" style="2" bestFit="1" customWidth="1"/>
    <col min="7" max="7" width="11.5703125" style="2" customWidth="1"/>
    <col min="8" max="8" width="10.5703125" style="2" bestFit="1" customWidth="1"/>
    <col min="9" max="9" width="9.7109375" style="2" bestFit="1" customWidth="1"/>
    <col min="10" max="10" width="9" style="8" bestFit="1" customWidth="1"/>
    <col min="11" max="11" width="11.7109375" style="8" bestFit="1" customWidth="1"/>
    <col min="12" max="12" width="11.7109375" style="2" customWidth="1"/>
    <col min="13" max="13" width="9" style="3" bestFit="1" customWidth="1"/>
    <col min="14" max="14" width="9" style="2" bestFit="1" customWidth="1"/>
    <col min="15" max="15" width="8.5703125" style="2" bestFit="1" customWidth="1"/>
    <col min="16" max="16" width="8.42578125" style="3" bestFit="1" customWidth="1"/>
    <col min="17" max="17" width="8.140625" style="3" bestFit="1" customWidth="1"/>
    <col min="18" max="18" width="11.28515625" style="13" hidden="1" customWidth="1"/>
    <col min="19" max="19" width="12" style="2" bestFit="1" customWidth="1"/>
    <col min="20" max="20" width="7.28515625" style="13" customWidth="1"/>
    <col min="21" max="21" width="8.140625" style="13" customWidth="1"/>
    <col min="22" max="22" width="9.7109375" style="1" bestFit="1" customWidth="1"/>
    <col min="23" max="23" width="9" style="1" bestFit="1" customWidth="1"/>
    <col min="24" max="24" width="12.85546875" style="1" bestFit="1" customWidth="1"/>
    <col min="25" max="25" width="9" style="1" bestFit="1" customWidth="1"/>
    <col min="26" max="26" width="8.140625" style="1" bestFit="1" customWidth="1"/>
    <col min="27" max="27" width="9" style="4" bestFit="1" customWidth="1"/>
    <col min="28" max="16384" width="11.28515625" style="1"/>
  </cols>
  <sheetData>
    <row r="1" spans="1:27" s="9" customFormat="1" ht="19.5" customHeight="1" x14ac:dyDescent="0.25">
      <c r="A1" s="31" t="s">
        <v>0</v>
      </c>
      <c r="B1" s="30" t="s">
        <v>1</v>
      </c>
      <c r="C1" s="34" t="s">
        <v>15</v>
      </c>
      <c r="D1" s="35"/>
      <c r="E1" s="35"/>
      <c r="F1" s="35"/>
      <c r="G1" s="35"/>
      <c r="H1" s="35"/>
      <c r="I1" s="35"/>
      <c r="J1" s="35"/>
      <c r="K1" s="35"/>
      <c r="L1" s="35"/>
      <c r="M1" s="34" t="s">
        <v>16</v>
      </c>
      <c r="N1" s="35"/>
      <c r="O1" s="35"/>
      <c r="P1" s="35"/>
      <c r="Q1" s="35"/>
      <c r="R1" s="35"/>
      <c r="S1" s="35"/>
      <c r="T1" s="35"/>
      <c r="U1" s="35"/>
      <c r="V1" s="39"/>
      <c r="W1" s="34" t="s">
        <v>18</v>
      </c>
      <c r="X1" s="39"/>
      <c r="Y1" s="38" t="s">
        <v>20</v>
      </c>
      <c r="Z1" s="38"/>
      <c r="AA1" s="38"/>
    </row>
    <row r="2" spans="1:27" s="9" customFormat="1" ht="21" customHeight="1" x14ac:dyDescent="0.25">
      <c r="A2" s="31"/>
      <c r="B2" s="30"/>
      <c r="C2" s="32" t="s">
        <v>22</v>
      </c>
      <c r="D2" s="32" t="s">
        <v>54</v>
      </c>
      <c r="E2" s="32" t="s">
        <v>44</v>
      </c>
      <c r="F2" s="32" t="s">
        <v>23</v>
      </c>
      <c r="G2" s="32" t="s">
        <v>25</v>
      </c>
      <c r="H2" s="32" t="s">
        <v>24</v>
      </c>
      <c r="I2" s="32" t="s">
        <v>26</v>
      </c>
      <c r="J2" s="32" t="s">
        <v>27</v>
      </c>
      <c r="K2" s="32" t="s">
        <v>28</v>
      </c>
      <c r="L2" s="32" t="s">
        <v>43</v>
      </c>
      <c r="M2" s="29" t="s">
        <v>29</v>
      </c>
      <c r="N2" s="29" t="s">
        <v>30</v>
      </c>
      <c r="O2" s="29" t="s">
        <v>31</v>
      </c>
      <c r="P2" s="29" t="s">
        <v>60</v>
      </c>
      <c r="Q2" s="29" t="s">
        <v>32</v>
      </c>
      <c r="R2" s="29" t="s">
        <v>33</v>
      </c>
      <c r="S2" s="29" t="s">
        <v>34</v>
      </c>
      <c r="T2" s="40" t="s">
        <v>19</v>
      </c>
      <c r="U2" s="41"/>
      <c r="V2" s="29" t="s">
        <v>37</v>
      </c>
      <c r="W2" s="32" t="s">
        <v>38</v>
      </c>
      <c r="X2" s="32" t="s">
        <v>39</v>
      </c>
      <c r="Y2" s="36" t="s">
        <v>40</v>
      </c>
      <c r="Z2" s="32" t="s">
        <v>41</v>
      </c>
      <c r="AA2" s="29" t="s">
        <v>42</v>
      </c>
    </row>
    <row r="3" spans="1:27" s="9" customFormat="1" ht="36" x14ac:dyDescent="0.25">
      <c r="A3" s="31"/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  <c r="O3" s="29"/>
      <c r="P3" s="29"/>
      <c r="Q3" s="29"/>
      <c r="R3" s="29"/>
      <c r="S3" s="29"/>
      <c r="T3" s="16" t="s">
        <v>35</v>
      </c>
      <c r="U3" s="16" t="s">
        <v>36</v>
      </c>
      <c r="V3" s="29"/>
      <c r="W3" s="33"/>
      <c r="X3" s="33"/>
      <c r="Y3" s="37"/>
      <c r="Z3" s="33"/>
      <c r="AA3" s="29"/>
    </row>
    <row r="4" spans="1:27" s="10" customFormat="1" x14ac:dyDescent="0.25">
      <c r="A4" s="17" t="s">
        <v>67</v>
      </c>
      <c r="B4" s="25" t="s">
        <v>68</v>
      </c>
      <c r="C4" s="5">
        <v>860.45</v>
      </c>
      <c r="D4" s="5"/>
      <c r="E4" s="5"/>
      <c r="F4" s="5"/>
      <c r="G4" s="5"/>
      <c r="H4" s="5"/>
      <c r="I4" s="5"/>
      <c r="J4" s="5"/>
      <c r="K4" s="5">
        <v>78.59</v>
      </c>
      <c r="L4" s="6">
        <f>SUM(C4:K4)</f>
        <v>939.04000000000008</v>
      </c>
      <c r="M4" s="5"/>
      <c r="N4" s="5"/>
      <c r="O4" s="5"/>
      <c r="P4" s="5"/>
      <c r="Q4" s="5"/>
      <c r="R4" s="5"/>
      <c r="S4" s="5"/>
      <c r="T4" s="5"/>
      <c r="U4" s="5"/>
      <c r="V4" s="6">
        <f>SUM(M4:U4)</f>
        <v>0</v>
      </c>
      <c r="W4" s="5">
        <v>0</v>
      </c>
      <c r="X4" s="6">
        <f>L4-V4</f>
        <v>939.04000000000008</v>
      </c>
      <c r="Y4" s="5"/>
      <c r="Z4" s="19"/>
      <c r="AA4" s="5"/>
    </row>
    <row r="5" spans="1:27" x14ac:dyDescent="0.25">
      <c r="A5" s="17" t="s">
        <v>2</v>
      </c>
      <c r="B5" s="25" t="s">
        <v>113</v>
      </c>
      <c r="C5" s="5">
        <v>6647.35</v>
      </c>
      <c r="D5" s="5"/>
      <c r="E5" s="5"/>
      <c r="F5" s="5"/>
      <c r="G5" s="5"/>
      <c r="H5" s="5"/>
      <c r="I5" s="5"/>
      <c r="J5" s="5"/>
      <c r="K5" s="5"/>
      <c r="L5" s="6">
        <f t="shared" ref="L5:L44" si="0">SUM(C5:K5)</f>
        <v>6647.35</v>
      </c>
      <c r="M5" s="5">
        <v>751.97</v>
      </c>
      <c r="N5" s="5">
        <v>699.73</v>
      </c>
      <c r="O5" s="5"/>
      <c r="P5" s="5">
        <f>135.43+91.6</f>
        <v>227.03</v>
      </c>
      <c r="Q5" s="5"/>
      <c r="R5" s="5"/>
      <c r="S5" s="5"/>
      <c r="T5" s="5"/>
      <c r="U5" s="5">
        <v>40.54</v>
      </c>
      <c r="V5" s="6">
        <f t="shared" ref="V5:V44" si="1">SUM(M5:U5)</f>
        <v>1719.27</v>
      </c>
      <c r="W5" s="5">
        <v>0</v>
      </c>
      <c r="X5" s="6">
        <f t="shared" ref="X5:X44" si="2">L5-V5</f>
        <v>4928.08</v>
      </c>
      <c r="Y5" s="5">
        <v>531.79</v>
      </c>
      <c r="Z5" s="19"/>
      <c r="AA5" s="5">
        <v>835.34</v>
      </c>
    </row>
    <row r="6" spans="1:27" ht="11.25" customHeight="1" x14ac:dyDescent="0.25">
      <c r="A6" s="17" t="s">
        <v>21</v>
      </c>
      <c r="B6" s="25" t="s">
        <v>91</v>
      </c>
      <c r="C6" s="5">
        <v>3105.98</v>
      </c>
      <c r="D6" s="5"/>
      <c r="E6" s="5"/>
      <c r="F6" s="5"/>
      <c r="G6" s="5"/>
      <c r="H6" s="5"/>
      <c r="I6" s="5"/>
      <c r="J6" s="5"/>
      <c r="K6" s="5"/>
      <c r="L6" s="6">
        <f t="shared" si="0"/>
        <v>3105.98</v>
      </c>
      <c r="M6" s="5">
        <v>290.11</v>
      </c>
      <c r="N6" s="5">
        <v>68.39</v>
      </c>
      <c r="O6" s="5"/>
      <c r="P6" s="5">
        <v>20.79</v>
      </c>
      <c r="Q6" s="5"/>
      <c r="R6" s="5"/>
      <c r="S6" s="5"/>
      <c r="T6" s="5"/>
      <c r="U6" s="5">
        <v>40.54</v>
      </c>
      <c r="V6" s="6">
        <f t="shared" si="1"/>
        <v>419.83000000000004</v>
      </c>
      <c r="W6" s="5">
        <v>0</v>
      </c>
      <c r="X6" s="6">
        <f t="shared" si="2"/>
        <v>2686.15</v>
      </c>
      <c r="Y6" s="5">
        <v>248.48</v>
      </c>
      <c r="Z6" s="19"/>
      <c r="AA6" s="5">
        <v>835.34</v>
      </c>
    </row>
    <row r="7" spans="1:27" s="4" customFormat="1" x14ac:dyDescent="0.25">
      <c r="A7" s="17" t="s">
        <v>89</v>
      </c>
      <c r="B7" s="25" t="s">
        <v>112</v>
      </c>
      <c r="C7" s="5"/>
      <c r="D7" s="5"/>
      <c r="E7" s="5"/>
      <c r="F7" s="5"/>
      <c r="G7" s="5">
        <f>6175.04*2/30+0.01</f>
        <v>411.67933333333332</v>
      </c>
      <c r="H7" s="5"/>
      <c r="I7" s="5"/>
      <c r="J7" s="5"/>
      <c r="K7" s="5">
        <f>51.27+1554.12</f>
        <v>1605.3899999999999</v>
      </c>
      <c r="L7" s="6">
        <f t="shared" si="0"/>
        <v>2017.0693333333331</v>
      </c>
      <c r="M7" s="5">
        <v>30.87</v>
      </c>
      <c r="N7" s="5"/>
      <c r="O7" s="5"/>
      <c r="P7" s="5">
        <f>36.64+366.35+91.6</f>
        <v>494.59000000000003</v>
      </c>
      <c r="Q7" s="5"/>
      <c r="R7" s="5"/>
      <c r="S7" s="5">
        <f>1070.26+380.81</f>
        <v>1451.07</v>
      </c>
      <c r="T7" s="5"/>
      <c r="U7" s="22">
        <v>40.54</v>
      </c>
      <c r="V7" s="6">
        <f t="shared" si="1"/>
        <v>2017.07</v>
      </c>
      <c r="W7" s="5">
        <v>0</v>
      </c>
      <c r="X7" s="6">
        <f t="shared" si="2"/>
        <v>-6.6666666680248454E-4</v>
      </c>
      <c r="Y7" s="5">
        <v>32.93</v>
      </c>
      <c r="Z7" s="19"/>
      <c r="AA7" s="5">
        <v>835.34</v>
      </c>
    </row>
    <row r="8" spans="1:27" s="10" customFormat="1" x14ac:dyDescent="0.25">
      <c r="A8" s="17" t="s">
        <v>102</v>
      </c>
      <c r="B8" s="25" t="s">
        <v>69</v>
      </c>
      <c r="C8" s="5"/>
      <c r="D8" s="5"/>
      <c r="E8" s="5"/>
      <c r="F8" s="5"/>
      <c r="G8" s="5"/>
      <c r="H8" s="5"/>
      <c r="I8" s="5"/>
      <c r="J8" s="5"/>
      <c r="K8" s="5">
        <v>81.08</v>
      </c>
      <c r="L8" s="6">
        <f t="shared" si="0"/>
        <v>81.08</v>
      </c>
      <c r="M8" s="5"/>
      <c r="N8" s="5"/>
      <c r="O8" s="5"/>
      <c r="P8" s="5"/>
      <c r="Q8" s="5"/>
      <c r="R8" s="5"/>
      <c r="S8" s="5">
        <v>40.54</v>
      </c>
      <c r="T8" s="5"/>
      <c r="U8" s="5">
        <v>40.54</v>
      </c>
      <c r="V8" s="6">
        <f t="shared" si="1"/>
        <v>81.08</v>
      </c>
      <c r="W8" s="5">
        <v>0</v>
      </c>
      <c r="X8" s="6">
        <f t="shared" si="2"/>
        <v>0</v>
      </c>
      <c r="Y8" s="5">
        <v>0</v>
      </c>
      <c r="Z8" s="19"/>
      <c r="AA8" s="5">
        <v>835.34</v>
      </c>
    </row>
    <row r="9" spans="1:27" s="10" customFormat="1" x14ac:dyDescent="0.25">
      <c r="A9" s="17" t="s">
        <v>62</v>
      </c>
      <c r="B9" s="25" t="s">
        <v>70</v>
      </c>
      <c r="C9" s="5">
        <v>7536.87</v>
      </c>
      <c r="D9" s="5"/>
      <c r="E9" s="5"/>
      <c r="F9" s="5"/>
      <c r="G9" s="5"/>
      <c r="H9" s="5"/>
      <c r="I9" s="5"/>
      <c r="J9" s="5"/>
      <c r="K9" s="5">
        <v>358.21</v>
      </c>
      <c r="L9" s="6">
        <f t="shared" si="0"/>
        <v>7895.08</v>
      </c>
      <c r="M9" s="5">
        <v>751.97</v>
      </c>
      <c r="N9" s="5">
        <v>944.35</v>
      </c>
      <c r="O9" s="5"/>
      <c r="P9" s="5">
        <f>54.95+91.6</f>
        <v>146.55000000000001</v>
      </c>
      <c r="Q9" s="5"/>
      <c r="R9" s="5"/>
      <c r="S9" s="5"/>
      <c r="T9" s="5"/>
      <c r="U9" s="5">
        <v>40.54</v>
      </c>
      <c r="V9" s="6">
        <f t="shared" si="1"/>
        <v>1883.41</v>
      </c>
      <c r="W9" s="5">
        <v>0</v>
      </c>
      <c r="X9" s="6">
        <f t="shared" si="2"/>
        <v>6011.67</v>
      </c>
      <c r="Y9" s="5">
        <v>602.95000000000005</v>
      </c>
      <c r="Z9" s="19"/>
      <c r="AA9" s="5">
        <v>835.34</v>
      </c>
    </row>
    <row r="10" spans="1:27" s="10" customFormat="1" x14ac:dyDescent="0.25">
      <c r="A10" s="17" t="s">
        <v>110</v>
      </c>
      <c r="B10" s="25" t="s">
        <v>103</v>
      </c>
      <c r="C10" s="5">
        <v>860.45</v>
      </c>
      <c r="D10" s="5"/>
      <c r="E10" s="5"/>
      <c r="F10" s="5"/>
      <c r="G10" s="5"/>
      <c r="H10" s="5"/>
      <c r="I10" s="5"/>
      <c r="J10" s="5"/>
      <c r="K10" s="5">
        <v>78.59</v>
      </c>
      <c r="L10" s="6">
        <f>SUM(C10:K10)</f>
        <v>939.04000000000008</v>
      </c>
      <c r="M10" s="5"/>
      <c r="N10" s="5"/>
      <c r="O10" s="5"/>
      <c r="P10" s="5"/>
      <c r="Q10" s="5"/>
      <c r="R10" s="5"/>
      <c r="S10" s="5"/>
      <c r="T10" s="5"/>
      <c r="U10" s="5"/>
      <c r="V10" s="6">
        <f>SUM(M10:U10)</f>
        <v>0</v>
      </c>
      <c r="W10" s="5">
        <v>0</v>
      </c>
      <c r="X10" s="6">
        <f>L10-V10</f>
        <v>939.04000000000008</v>
      </c>
      <c r="Y10" s="5"/>
      <c r="Z10" s="19"/>
      <c r="AA10" s="5"/>
    </row>
    <row r="11" spans="1:27" s="10" customFormat="1" ht="11.25" customHeight="1" x14ac:dyDescent="0.25">
      <c r="A11" s="23" t="s">
        <v>65</v>
      </c>
      <c r="B11" s="25" t="s">
        <v>71</v>
      </c>
      <c r="C11" s="5">
        <v>2914.88</v>
      </c>
      <c r="D11" s="5"/>
      <c r="E11" s="5"/>
      <c r="F11" s="5"/>
      <c r="G11" s="5">
        <f>582.98+57.22+11.72+20.28+224.07</f>
        <v>896.27</v>
      </c>
      <c r="H11" s="4"/>
      <c r="I11" s="5">
        <f>1165.96+388.65</f>
        <v>1554.6100000000001</v>
      </c>
      <c r="J11" s="5"/>
      <c r="K11" s="5"/>
      <c r="L11" s="6">
        <f t="shared" si="0"/>
        <v>5365.76</v>
      </c>
      <c r="M11" s="5">
        <f>67.22+317.62</f>
        <v>384.84000000000003</v>
      </c>
      <c r="N11" s="5">
        <v>51.99</v>
      </c>
      <c r="O11" s="5"/>
      <c r="P11" s="5"/>
      <c r="Q11" s="5"/>
      <c r="R11" s="5"/>
      <c r="S11" s="5">
        <v>2383.66</v>
      </c>
      <c r="T11" s="5"/>
      <c r="U11" s="5">
        <v>40.54</v>
      </c>
      <c r="V11" s="6">
        <f t="shared" si="1"/>
        <v>2861.0299999999997</v>
      </c>
      <c r="W11" s="5">
        <v>0</v>
      </c>
      <c r="X11" s="6">
        <f t="shared" si="2"/>
        <v>2504.7300000000005</v>
      </c>
      <c r="Y11" s="5">
        <f>71.7+233.19</f>
        <v>304.89</v>
      </c>
      <c r="Z11" s="19"/>
      <c r="AA11" s="5">
        <v>835.34</v>
      </c>
    </row>
    <row r="12" spans="1:27" s="10" customFormat="1" ht="11.25" customHeight="1" x14ac:dyDescent="0.25">
      <c r="A12" s="18" t="s">
        <v>51</v>
      </c>
      <c r="B12" s="26" t="s">
        <v>72</v>
      </c>
      <c r="C12" s="5">
        <v>9543.5</v>
      </c>
      <c r="D12" s="5"/>
      <c r="E12" s="5"/>
      <c r="F12" s="5"/>
      <c r="G12" s="5"/>
      <c r="H12" s="5"/>
      <c r="I12" s="5"/>
      <c r="J12" s="5"/>
      <c r="K12" s="5"/>
      <c r="L12" s="6">
        <f t="shared" si="0"/>
        <v>9543.5</v>
      </c>
      <c r="M12" s="5">
        <v>751.97</v>
      </c>
      <c r="N12" s="5">
        <v>1548.31</v>
      </c>
      <c r="O12" s="5"/>
      <c r="P12" s="5">
        <v>54.95</v>
      </c>
      <c r="Q12" s="5"/>
      <c r="R12" s="5"/>
      <c r="S12" s="5"/>
      <c r="T12" s="5"/>
      <c r="U12" s="5">
        <v>40.54</v>
      </c>
      <c r="V12" s="6">
        <f t="shared" si="1"/>
        <v>2395.7699999999995</v>
      </c>
      <c r="W12" s="5">
        <v>0</v>
      </c>
      <c r="X12" s="6">
        <f t="shared" si="2"/>
        <v>7147.7300000000005</v>
      </c>
      <c r="Y12" s="5">
        <v>763.48</v>
      </c>
      <c r="Z12" s="19"/>
      <c r="AA12" s="5">
        <v>835.34</v>
      </c>
    </row>
    <row r="13" spans="1:27" s="10" customFormat="1" ht="11.25" customHeight="1" x14ac:dyDescent="0.25">
      <c r="A13" s="18" t="s">
        <v>47</v>
      </c>
      <c r="B13" s="25" t="s">
        <v>92</v>
      </c>
      <c r="C13" s="5">
        <v>3168.1</v>
      </c>
      <c r="D13" s="5"/>
      <c r="E13" s="5"/>
      <c r="F13" s="5"/>
      <c r="G13" s="5"/>
      <c r="H13" s="5"/>
      <c r="I13" s="5"/>
      <c r="J13" s="5"/>
      <c r="K13" s="4"/>
      <c r="L13" s="6">
        <f t="shared" si="0"/>
        <v>3168.1</v>
      </c>
      <c r="M13" s="5">
        <v>297.56</v>
      </c>
      <c r="N13" s="5">
        <v>75.78</v>
      </c>
      <c r="O13" s="5"/>
      <c r="P13" s="5">
        <v>37.28</v>
      </c>
      <c r="Q13" s="5"/>
      <c r="R13" s="5"/>
      <c r="S13" s="5"/>
      <c r="T13" s="5"/>
      <c r="U13" s="5">
        <v>40.54</v>
      </c>
      <c r="V13" s="6">
        <f t="shared" si="1"/>
        <v>451.16</v>
      </c>
      <c r="W13" s="5">
        <v>0</v>
      </c>
      <c r="X13" s="6">
        <f t="shared" si="2"/>
        <v>2716.94</v>
      </c>
      <c r="Y13" s="5">
        <v>253.45</v>
      </c>
      <c r="Z13" s="19"/>
      <c r="AA13" s="5">
        <v>835.34</v>
      </c>
    </row>
    <row r="14" spans="1:27" ht="11.25" customHeight="1" x14ac:dyDescent="0.25">
      <c r="A14" s="17" t="s">
        <v>3</v>
      </c>
      <c r="B14" s="25" t="s">
        <v>93</v>
      </c>
      <c r="C14" s="5">
        <v>9881.1200000000008</v>
      </c>
      <c r="D14" s="5"/>
      <c r="E14" s="5"/>
      <c r="F14" s="5"/>
      <c r="G14" s="5">
        <v>2634.96</v>
      </c>
      <c r="H14" s="5"/>
      <c r="I14" s="5"/>
      <c r="J14" s="20"/>
      <c r="K14" s="5"/>
      <c r="L14" s="6">
        <f t="shared" si="0"/>
        <v>12516.080000000002</v>
      </c>
      <c r="M14" s="5">
        <f>233.58+518.39</f>
        <v>751.97</v>
      </c>
      <c r="N14" s="5">
        <f>37.3+1705.39</f>
        <v>1742.69</v>
      </c>
      <c r="O14" s="5"/>
      <c r="P14" s="5">
        <v>73.27</v>
      </c>
      <c r="Q14" s="5"/>
      <c r="R14" s="5"/>
      <c r="S14" s="5">
        <v>2364.08</v>
      </c>
      <c r="T14" s="5"/>
      <c r="U14" s="5">
        <v>40.54</v>
      </c>
      <c r="V14" s="6">
        <f t="shared" si="1"/>
        <v>4972.55</v>
      </c>
      <c r="W14" s="5">
        <v>0</v>
      </c>
      <c r="X14" s="6">
        <f t="shared" si="2"/>
        <v>7543.5300000000016</v>
      </c>
      <c r="Y14" s="5">
        <f>210.8+790.49</f>
        <v>1001.29</v>
      </c>
      <c r="Z14" s="19"/>
      <c r="AA14" s="5">
        <v>835.34</v>
      </c>
    </row>
    <row r="15" spans="1:27" s="7" customFormat="1" x14ac:dyDescent="0.25">
      <c r="A15" s="24" t="s">
        <v>66</v>
      </c>
      <c r="B15" s="25" t="s">
        <v>73</v>
      </c>
      <c r="C15" s="14">
        <v>9297.17</v>
      </c>
      <c r="D15" s="5"/>
      <c r="E15" s="14"/>
      <c r="F15" s="14"/>
      <c r="G15" s="14">
        <f>5509.44*3/12</f>
        <v>1377.36</v>
      </c>
      <c r="H15" s="14"/>
      <c r="I15" s="14"/>
      <c r="J15" s="5"/>
      <c r="K15" s="5"/>
      <c r="L15" s="6">
        <f t="shared" si="0"/>
        <v>10674.53</v>
      </c>
      <c r="M15" s="14">
        <f>107.46+644.51</f>
        <v>751.97</v>
      </c>
      <c r="N15" s="14">
        <f>445.86+1457.98</f>
        <v>1903.8400000000001</v>
      </c>
      <c r="O15" s="14"/>
      <c r="P15" s="21">
        <f>73.27+91.6+415.84</f>
        <v>580.71</v>
      </c>
      <c r="Q15" s="21"/>
      <c r="R15" s="14"/>
      <c r="S15" s="14">
        <f>5509.44*3/12-107.46-445.86</f>
        <v>824.03999999999985</v>
      </c>
      <c r="T15" s="5"/>
      <c r="U15" s="5">
        <v>40.54</v>
      </c>
      <c r="V15" s="6">
        <f t="shared" si="1"/>
        <v>4101.1000000000004</v>
      </c>
      <c r="W15" s="5">
        <v>0</v>
      </c>
      <c r="X15" s="6">
        <f t="shared" si="2"/>
        <v>6573.43</v>
      </c>
      <c r="Y15" s="14">
        <f>110.19+743.77</f>
        <v>853.96</v>
      </c>
      <c r="Z15" s="19"/>
      <c r="AA15" s="5">
        <v>835.34</v>
      </c>
    </row>
    <row r="16" spans="1:27" s="7" customFormat="1" x14ac:dyDescent="0.25">
      <c r="A16" s="18" t="s">
        <v>48</v>
      </c>
      <c r="B16" s="25" t="s">
        <v>99</v>
      </c>
      <c r="C16" s="5">
        <v>6112.61</v>
      </c>
      <c r="D16" s="5">
        <v>1833.78</v>
      </c>
      <c r="E16" s="14"/>
      <c r="F16" s="14"/>
      <c r="G16" s="14"/>
      <c r="H16" s="14"/>
      <c r="I16" s="14"/>
      <c r="J16" s="5"/>
      <c r="K16" s="5"/>
      <c r="L16" s="6">
        <f t="shared" si="0"/>
        <v>7946.3899999999994</v>
      </c>
      <c r="M16" s="14">
        <v>751.97</v>
      </c>
      <c r="N16" s="14">
        <v>1109.1099999999999</v>
      </c>
      <c r="O16" s="14"/>
      <c r="P16" s="14">
        <v>661.21</v>
      </c>
      <c r="Q16" s="14"/>
      <c r="R16" s="14"/>
      <c r="S16" s="14"/>
      <c r="T16" s="5"/>
      <c r="U16" s="5">
        <v>40.54</v>
      </c>
      <c r="V16" s="6">
        <f t="shared" si="1"/>
        <v>2562.83</v>
      </c>
      <c r="W16" s="5">
        <v>0</v>
      </c>
      <c r="X16" s="6">
        <f t="shared" si="2"/>
        <v>5383.5599999999995</v>
      </c>
      <c r="Y16" s="14">
        <v>635.71</v>
      </c>
      <c r="Z16" s="19"/>
      <c r="AA16" s="5">
        <v>835.34</v>
      </c>
    </row>
    <row r="17" spans="1:27" x14ac:dyDescent="0.25">
      <c r="A17" s="17" t="s">
        <v>4</v>
      </c>
      <c r="B17" s="25" t="s">
        <v>53</v>
      </c>
      <c r="C17" s="5">
        <v>11857.34</v>
      </c>
      <c r="D17" s="5"/>
      <c r="E17" s="5"/>
      <c r="F17" s="5"/>
      <c r="G17" s="5"/>
      <c r="H17" s="5"/>
      <c r="I17" s="5"/>
      <c r="J17" s="5"/>
      <c r="K17" s="5">
        <v>358.21</v>
      </c>
      <c r="L17" s="6">
        <f t="shared" si="0"/>
        <v>12215.55</v>
      </c>
      <c r="M17" s="5">
        <v>751.97</v>
      </c>
      <c r="N17" s="5">
        <v>2080.34</v>
      </c>
      <c r="O17" s="5"/>
      <c r="P17" s="5">
        <f>73.27+315.67+381.98</f>
        <v>770.92000000000007</v>
      </c>
      <c r="Q17" s="5"/>
      <c r="R17" s="5"/>
      <c r="S17" s="5"/>
      <c r="T17" s="5"/>
      <c r="U17" s="5">
        <v>40.54</v>
      </c>
      <c r="V17" s="6">
        <f t="shared" si="1"/>
        <v>3643.7700000000004</v>
      </c>
      <c r="W17" s="5">
        <v>0</v>
      </c>
      <c r="X17" s="6">
        <f t="shared" si="2"/>
        <v>8571.7799999999988</v>
      </c>
      <c r="Y17" s="5">
        <v>948.59</v>
      </c>
      <c r="Z17" s="19"/>
      <c r="AA17" s="5">
        <v>835.34</v>
      </c>
    </row>
    <row r="18" spans="1:27" x14ac:dyDescent="0.25">
      <c r="A18" s="17" t="s">
        <v>56</v>
      </c>
      <c r="B18" s="25" t="s">
        <v>74</v>
      </c>
      <c r="C18" s="5">
        <v>6534.47</v>
      </c>
      <c r="D18" s="5"/>
      <c r="E18" s="5"/>
      <c r="F18" s="5"/>
      <c r="G18" s="5">
        <v>1826.05</v>
      </c>
      <c r="H18" s="5"/>
      <c r="I18" s="5"/>
      <c r="J18" s="5"/>
      <c r="K18" s="5"/>
      <c r="L18" s="6">
        <f t="shared" si="0"/>
        <v>8360.52</v>
      </c>
      <c r="M18" s="5">
        <f>147.84+604.13</f>
        <v>751.97</v>
      </c>
      <c r="N18" s="5">
        <v>761.48</v>
      </c>
      <c r="O18" s="5"/>
      <c r="P18" s="5">
        <v>203.39</v>
      </c>
      <c r="Q18" s="5"/>
      <c r="R18" s="5"/>
      <c r="S18" s="5">
        <v>1678.21</v>
      </c>
      <c r="T18" s="5"/>
      <c r="U18" s="5">
        <v>40.54</v>
      </c>
      <c r="V18" s="6">
        <f t="shared" si="1"/>
        <v>3435.59</v>
      </c>
      <c r="W18" s="5">
        <v>0</v>
      </c>
      <c r="X18" s="6">
        <f t="shared" si="2"/>
        <v>4924.93</v>
      </c>
      <c r="Y18" s="5">
        <f>146.08+522.76</f>
        <v>668.84</v>
      </c>
      <c r="Z18" s="19"/>
      <c r="AA18" s="5">
        <v>835.34</v>
      </c>
    </row>
    <row r="19" spans="1:27" x14ac:dyDescent="0.25">
      <c r="A19" s="17" t="s">
        <v>5</v>
      </c>
      <c r="B19" s="25" t="s">
        <v>84</v>
      </c>
      <c r="C19" s="5">
        <v>3362.02</v>
      </c>
      <c r="D19" s="5"/>
      <c r="E19" s="5"/>
      <c r="F19" s="5"/>
      <c r="G19" s="5"/>
      <c r="H19" s="5"/>
      <c r="I19" s="5"/>
      <c r="J19" s="5"/>
      <c r="K19" s="5"/>
      <c r="L19" s="6">
        <f t="shared" si="0"/>
        <v>3362.02</v>
      </c>
      <c r="M19" s="5">
        <v>321.95999999999998</v>
      </c>
      <c r="N19" s="5">
        <v>101.21</v>
      </c>
      <c r="O19" s="5"/>
      <c r="P19" s="5">
        <v>13.28</v>
      </c>
      <c r="Q19" s="5"/>
      <c r="S19" s="5"/>
      <c r="T19" s="5"/>
      <c r="U19" s="5">
        <v>40.54</v>
      </c>
      <c r="V19" s="6">
        <f t="shared" si="1"/>
        <v>476.98999999999995</v>
      </c>
      <c r="W19" s="5">
        <v>0</v>
      </c>
      <c r="X19" s="6">
        <f t="shared" si="2"/>
        <v>2885.03</v>
      </c>
      <c r="Y19" s="5">
        <v>268.95999999999998</v>
      </c>
      <c r="Z19" s="19"/>
      <c r="AA19" s="5">
        <v>835.34</v>
      </c>
    </row>
    <row r="20" spans="1:27" s="10" customFormat="1" x14ac:dyDescent="0.25">
      <c r="A20" s="17" t="s">
        <v>63</v>
      </c>
      <c r="B20" s="25" t="s">
        <v>90</v>
      </c>
      <c r="C20" s="5">
        <v>860.45</v>
      </c>
      <c r="D20" s="5"/>
      <c r="E20" s="5"/>
      <c r="F20" s="5"/>
      <c r="G20" s="5"/>
      <c r="H20" s="5"/>
      <c r="I20" s="5"/>
      <c r="J20" s="5"/>
      <c r="K20" s="5">
        <v>78.59</v>
      </c>
      <c r="L20" s="6">
        <f t="shared" si="0"/>
        <v>939.04000000000008</v>
      </c>
      <c r="M20" s="5"/>
      <c r="N20" s="5"/>
      <c r="O20" s="5"/>
      <c r="P20" s="5"/>
      <c r="Q20" s="5"/>
      <c r="R20" s="5"/>
      <c r="S20" s="5"/>
      <c r="T20" s="5"/>
      <c r="U20" s="5"/>
      <c r="V20" s="6">
        <f t="shared" si="1"/>
        <v>0</v>
      </c>
      <c r="W20" s="5">
        <v>0</v>
      </c>
      <c r="X20" s="6">
        <f t="shared" si="2"/>
        <v>939.04000000000008</v>
      </c>
      <c r="Y20" s="5"/>
      <c r="Z20" s="19"/>
      <c r="AA20" s="5"/>
    </row>
    <row r="21" spans="1:27" s="10" customFormat="1" x14ac:dyDescent="0.25">
      <c r="A21" s="17" t="s">
        <v>88</v>
      </c>
      <c r="B21" s="25" t="s">
        <v>94</v>
      </c>
      <c r="C21" s="5">
        <f>745.72+286.82</f>
        <v>1032.54</v>
      </c>
      <c r="D21" s="5"/>
      <c r="E21" s="5"/>
      <c r="F21" s="5"/>
      <c r="G21" s="5"/>
      <c r="H21" s="5"/>
      <c r="I21" s="5"/>
      <c r="J21" s="5"/>
      <c r="K21" s="5">
        <v>68.11</v>
      </c>
      <c r="L21" s="6">
        <f t="shared" si="0"/>
        <v>1100.6499999999999</v>
      </c>
      <c r="M21" s="5"/>
      <c r="N21" s="5"/>
      <c r="O21" s="5"/>
      <c r="P21" s="5"/>
      <c r="Q21" s="5"/>
      <c r="R21" s="5"/>
      <c r="S21" s="5"/>
      <c r="T21" s="5"/>
      <c r="U21" s="5"/>
      <c r="V21" s="6">
        <f t="shared" si="1"/>
        <v>0</v>
      </c>
      <c r="W21" s="5">
        <v>1100.6500000000001</v>
      </c>
      <c r="X21" s="6">
        <f>L21-V21-W21</f>
        <v>0</v>
      </c>
      <c r="Y21" s="5"/>
      <c r="Z21" s="19"/>
      <c r="AA21" s="5"/>
    </row>
    <row r="22" spans="1:27" x14ac:dyDescent="0.25">
      <c r="A22" s="17" t="s">
        <v>85</v>
      </c>
      <c r="B22" s="25" t="s">
        <v>14</v>
      </c>
      <c r="C22" s="5">
        <v>15471.12</v>
      </c>
      <c r="D22" s="5"/>
      <c r="E22" s="5"/>
      <c r="F22" s="5"/>
      <c r="G22" s="5"/>
      <c r="H22" s="5"/>
      <c r="I22" s="5"/>
      <c r="J22" s="5"/>
      <c r="K22" s="5"/>
      <c r="L22" s="6">
        <f t="shared" si="0"/>
        <v>15471.12</v>
      </c>
      <c r="M22" s="5">
        <v>751.97</v>
      </c>
      <c r="N22" s="5">
        <v>3126.27</v>
      </c>
      <c r="O22" s="5"/>
      <c r="P22" s="5">
        <f>94.15+91.6+470.77</f>
        <v>656.52</v>
      </c>
      <c r="Q22" s="5"/>
      <c r="R22" s="5"/>
      <c r="S22" s="5"/>
      <c r="T22" s="5"/>
      <c r="U22" s="5">
        <v>40.54</v>
      </c>
      <c r="V22" s="6">
        <f t="shared" si="1"/>
        <v>4575.3</v>
      </c>
      <c r="W22" s="5">
        <v>0</v>
      </c>
      <c r="X22" s="6">
        <f t="shared" si="2"/>
        <v>10895.82</v>
      </c>
      <c r="Y22" s="5">
        <v>1237.69</v>
      </c>
      <c r="Z22" s="19"/>
      <c r="AA22" s="5">
        <v>835.34</v>
      </c>
    </row>
    <row r="23" spans="1:27" s="10" customFormat="1" x14ac:dyDescent="0.25">
      <c r="A23" s="17" t="s">
        <v>104</v>
      </c>
      <c r="B23" s="25" t="s">
        <v>105</v>
      </c>
      <c r="C23" s="5"/>
      <c r="D23" s="5"/>
      <c r="E23" s="5">
        <v>1243.43</v>
      </c>
      <c r="F23" s="5"/>
      <c r="G23" s="5"/>
      <c r="H23" s="5"/>
      <c r="I23" s="5"/>
      <c r="J23" s="5"/>
      <c r="K23" s="5">
        <v>22.22</v>
      </c>
      <c r="L23" s="6">
        <f t="shared" ref="L23" si="3">SUM(C23:K23)</f>
        <v>1265.6500000000001</v>
      </c>
      <c r="M23" s="5">
        <v>95.4</v>
      </c>
      <c r="N23" s="5"/>
      <c r="O23" s="5"/>
      <c r="P23" s="5"/>
      <c r="Q23" s="5"/>
      <c r="R23" s="5"/>
      <c r="S23" s="5"/>
      <c r="T23" s="5"/>
      <c r="U23" s="5">
        <v>17.57</v>
      </c>
      <c r="V23" s="6">
        <f t="shared" si="1"/>
        <v>112.97</v>
      </c>
      <c r="W23" s="5">
        <v>0</v>
      </c>
      <c r="X23" s="6">
        <f t="shared" ref="X23" si="4">L23-V23</f>
        <v>1152.68</v>
      </c>
      <c r="Y23" s="5">
        <v>99.47</v>
      </c>
      <c r="Z23" s="19"/>
      <c r="AA23" s="5">
        <v>361.98</v>
      </c>
    </row>
    <row r="24" spans="1:27" s="10" customFormat="1" x14ac:dyDescent="0.25">
      <c r="A24" s="17" t="s">
        <v>57</v>
      </c>
      <c r="B24" s="25" t="s">
        <v>75</v>
      </c>
      <c r="C24" s="5">
        <v>2985.38</v>
      </c>
      <c r="D24" s="5"/>
      <c r="E24" s="5"/>
      <c r="F24" s="5"/>
      <c r="G24" s="5"/>
      <c r="H24" s="5"/>
      <c r="I24" s="5"/>
      <c r="J24" s="5"/>
      <c r="K24" s="5"/>
      <c r="L24" s="6">
        <f t="shared" si="0"/>
        <v>2985.38</v>
      </c>
      <c r="M24" s="5">
        <v>275.63</v>
      </c>
      <c r="N24" s="5">
        <v>60.43</v>
      </c>
      <c r="O24" s="5"/>
      <c r="P24" s="5">
        <v>13.28</v>
      </c>
      <c r="Q24" s="5"/>
      <c r="R24" s="5"/>
      <c r="S24" s="5"/>
      <c r="T24" s="5"/>
      <c r="U24" s="5">
        <v>40.54</v>
      </c>
      <c r="V24" s="6">
        <f t="shared" si="1"/>
        <v>389.88</v>
      </c>
      <c r="W24" s="5">
        <v>0</v>
      </c>
      <c r="X24" s="6">
        <f t="shared" si="2"/>
        <v>2595.5</v>
      </c>
      <c r="Y24" s="5">
        <v>238.83</v>
      </c>
      <c r="Z24" s="19"/>
      <c r="AA24" s="5">
        <v>835.34</v>
      </c>
    </row>
    <row r="25" spans="1:27" s="10" customFormat="1" x14ac:dyDescent="0.25">
      <c r="A25" s="17" t="s">
        <v>86</v>
      </c>
      <c r="B25" s="25" t="s">
        <v>95</v>
      </c>
      <c r="C25" s="5">
        <v>11857.34</v>
      </c>
      <c r="D25" s="5"/>
      <c r="E25" s="5"/>
      <c r="F25" s="5"/>
      <c r="G25" s="5"/>
      <c r="H25" s="5"/>
      <c r="I25" s="5"/>
      <c r="J25" s="5"/>
      <c r="K25" s="5"/>
      <c r="L25" s="6">
        <f t="shared" si="0"/>
        <v>11857.34</v>
      </c>
      <c r="M25" s="5">
        <v>751.97</v>
      </c>
      <c r="N25" s="5">
        <v>2184.62</v>
      </c>
      <c r="O25" s="5"/>
      <c r="P25" s="5"/>
      <c r="Q25" s="5"/>
      <c r="R25" s="5"/>
      <c r="S25" s="5"/>
      <c r="T25" s="5"/>
      <c r="U25" s="5">
        <v>40.54</v>
      </c>
      <c r="V25" s="6">
        <f t="shared" si="1"/>
        <v>2977.13</v>
      </c>
      <c r="W25" s="5">
        <v>0</v>
      </c>
      <c r="X25" s="6">
        <f t="shared" si="2"/>
        <v>8880.2099999999991</v>
      </c>
      <c r="Y25" s="5">
        <v>948.59</v>
      </c>
      <c r="Z25" s="19"/>
      <c r="AA25" s="5">
        <v>835.34</v>
      </c>
    </row>
    <row r="26" spans="1:27" s="10" customFormat="1" x14ac:dyDescent="0.25">
      <c r="A26" s="17" t="s">
        <v>55</v>
      </c>
      <c r="B26" s="25" t="s">
        <v>96</v>
      </c>
      <c r="C26" s="5">
        <f>9172.91</f>
        <v>9172.91</v>
      </c>
      <c r="D26" s="5"/>
      <c r="E26" s="5"/>
      <c r="F26" s="5"/>
      <c r="G26" s="5"/>
      <c r="H26" s="5"/>
      <c r="I26" s="5"/>
      <c r="J26" s="5"/>
      <c r="K26" s="5">
        <v>178.96</v>
      </c>
      <c r="L26" s="6">
        <f t="shared" si="0"/>
        <v>9351.869999999999</v>
      </c>
      <c r="M26" s="5">
        <v>751.97</v>
      </c>
      <c r="N26" s="5">
        <v>1495.61</v>
      </c>
      <c r="O26" s="5"/>
      <c r="P26" s="5">
        <v>209.51</v>
      </c>
      <c r="Q26" s="5"/>
      <c r="R26" s="5"/>
      <c r="S26" s="5"/>
      <c r="T26" s="5"/>
      <c r="U26" s="5">
        <v>40.54</v>
      </c>
      <c r="V26" s="6">
        <f t="shared" si="1"/>
        <v>2497.63</v>
      </c>
      <c r="W26" s="5">
        <v>0</v>
      </c>
      <c r="X26" s="6">
        <f t="shared" si="2"/>
        <v>6854.2399999999989</v>
      </c>
      <c r="Y26" s="5">
        <v>748.15</v>
      </c>
      <c r="Z26" s="19"/>
      <c r="AA26" s="5">
        <v>835.34</v>
      </c>
    </row>
    <row r="27" spans="1:27" s="4" customFormat="1" x14ac:dyDescent="0.25">
      <c r="A27" s="17" t="s">
        <v>49</v>
      </c>
      <c r="B27" s="25" t="s">
        <v>97</v>
      </c>
      <c r="C27" s="5">
        <v>6234.86</v>
      </c>
      <c r="D27" s="5">
        <v>1870.46</v>
      </c>
      <c r="E27" s="5"/>
      <c r="F27" s="5"/>
      <c r="G27" s="5"/>
      <c r="H27" s="5"/>
      <c r="I27" s="5"/>
      <c r="J27" s="5"/>
      <c r="K27" s="5"/>
      <c r="L27" s="6">
        <f t="shared" si="0"/>
        <v>8105.32</v>
      </c>
      <c r="M27" s="5">
        <v>751.97</v>
      </c>
      <c r="N27" s="5">
        <v>1152.81</v>
      </c>
      <c r="O27" s="5"/>
      <c r="P27" s="5"/>
      <c r="Q27" s="5"/>
      <c r="R27" s="5"/>
      <c r="S27" s="5"/>
      <c r="T27" s="5"/>
      <c r="U27" s="5">
        <v>40.54</v>
      </c>
      <c r="V27" s="6">
        <f t="shared" si="1"/>
        <v>1945.32</v>
      </c>
      <c r="W27" s="5">
        <v>0</v>
      </c>
      <c r="X27" s="6">
        <f t="shared" si="2"/>
        <v>6160</v>
      </c>
      <c r="Y27" s="5">
        <v>648.42999999999995</v>
      </c>
      <c r="Z27" s="19"/>
      <c r="AA27" s="5">
        <v>835.34</v>
      </c>
    </row>
    <row r="28" spans="1:27" s="4" customFormat="1" x14ac:dyDescent="0.25">
      <c r="A28" s="17" t="s">
        <v>59</v>
      </c>
      <c r="B28" s="25" t="s">
        <v>76</v>
      </c>
      <c r="C28" s="5">
        <v>1463.42</v>
      </c>
      <c r="D28" s="5"/>
      <c r="E28" s="5"/>
      <c r="F28" s="5"/>
      <c r="G28" s="5">
        <v>1971.27</v>
      </c>
      <c r="H28" s="5"/>
      <c r="I28" s="5"/>
      <c r="J28" s="5"/>
      <c r="K28" s="5"/>
      <c r="L28" s="6">
        <f t="shared" si="0"/>
        <v>3434.69</v>
      </c>
      <c r="M28" s="5">
        <f>160.91+171.22</f>
        <v>332.13</v>
      </c>
      <c r="N28" s="5"/>
      <c r="O28" s="5"/>
      <c r="P28" s="5">
        <v>13.28</v>
      </c>
      <c r="Q28" s="5"/>
      <c r="R28" s="5"/>
      <c r="S28" s="5">
        <v>1810.36</v>
      </c>
      <c r="T28" s="5"/>
      <c r="U28" s="5">
        <v>40.54</v>
      </c>
      <c r="V28" s="6">
        <f t="shared" si="1"/>
        <v>2196.31</v>
      </c>
      <c r="W28" s="5">
        <v>0</v>
      </c>
      <c r="X28" s="6">
        <f t="shared" si="2"/>
        <v>1238.3800000000001</v>
      </c>
      <c r="Y28" s="5">
        <f>157.7+117.07</f>
        <v>274.77</v>
      </c>
      <c r="Z28" s="19"/>
      <c r="AA28" s="5">
        <v>835.34</v>
      </c>
    </row>
    <row r="29" spans="1:27" x14ac:dyDescent="0.25">
      <c r="A29" s="17" t="s">
        <v>50</v>
      </c>
      <c r="B29" s="25" t="s">
        <v>77</v>
      </c>
      <c r="C29" s="5">
        <v>9734.3700000000008</v>
      </c>
      <c r="D29" s="5"/>
      <c r="E29" s="5"/>
      <c r="F29" s="5"/>
      <c r="G29" s="5"/>
      <c r="H29" s="5"/>
      <c r="I29" s="5"/>
      <c r="J29" s="5"/>
      <c r="K29" s="5"/>
      <c r="L29" s="6">
        <f t="shared" si="0"/>
        <v>9734.3700000000008</v>
      </c>
      <c r="M29" s="5">
        <v>751.97</v>
      </c>
      <c r="N29" s="5">
        <v>1548.66</v>
      </c>
      <c r="O29" s="5"/>
      <c r="P29" s="5">
        <f>54.95+161.02</f>
        <v>215.97000000000003</v>
      </c>
      <c r="Q29" s="5"/>
      <c r="R29" s="5"/>
      <c r="S29" s="5"/>
      <c r="T29" s="5"/>
      <c r="U29" s="5">
        <v>40.54</v>
      </c>
      <c r="V29" s="6">
        <f t="shared" si="1"/>
        <v>2557.1400000000003</v>
      </c>
      <c r="W29" s="5">
        <v>0</v>
      </c>
      <c r="X29" s="6">
        <f t="shared" si="2"/>
        <v>7177.2300000000005</v>
      </c>
      <c r="Y29" s="5">
        <v>778.75</v>
      </c>
      <c r="Z29" s="19"/>
      <c r="AA29" s="5">
        <v>835.34</v>
      </c>
    </row>
    <row r="30" spans="1:27" x14ac:dyDescent="0.25">
      <c r="A30" s="17" t="s">
        <v>6</v>
      </c>
      <c r="B30" s="25" t="s">
        <v>78</v>
      </c>
      <c r="C30" s="5">
        <v>3231.47</v>
      </c>
      <c r="D30" s="5"/>
      <c r="E30" s="5"/>
      <c r="F30" s="5"/>
      <c r="G30" s="5"/>
      <c r="H30" s="5"/>
      <c r="I30" s="5"/>
      <c r="J30" s="5"/>
      <c r="K30" s="5"/>
      <c r="L30" s="6">
        <f t="shared" si="0"/>
        <v>3231.47</v>
      </c>
      <c r="M30" s="5">
        <v>305.16000000000003</v>
      </c>
      <c r="N30" s="5">
        <v>84.15</v>
      </c>
      <c r="O30" s="5"/>
      <c r="P30" s="5">
        <v>20.79</v>
      </c>
      <c r="Q30" s="5"/>
      <c r="R30" s="5"/>
      <c r="S30" s="5"/>
      <c r="T30" s="5"/>
      <c r="U30" s="5">
        <v>40.54</v>
      </c>
      <c r="V30" s="6">
        <f t="shared" si="1"/>
        <v>450.6400000000001</v>
      </c>
      <c r="W30" s="5">
        <v>0</v>
      </c>
      <c r="X30" s="6">
        <f t="shared" si="2"/>
        <v>2780.83</v>
      </c>
      <c r="Y30" s="5">
        <v>258.52</v>
      </c>
      <c r="Z30" s="19"/>
      <c r="AA30" s="5">
        <v>835.34</v>
      </c>
    </row>
    <row r="31" spans="1:27" s="10" customFormat="1" x14ac:dyDescent="0.25">
      <c r="A31" s="17" t="s">
        <v>107</v>
      </c>
      <c r="B31" s="25" t="s">
        <v>106</v>
      </c>
      <c r="C31" s="5">
        <v>6338.82</v>
      </c>
      <c r="D31" s="5"/>
      <c r="E31" s="5"/>
      <c r="F31" s="5"/>
      <c r="G31" s="5"/>
      <c r="H31" s="5"/>
      <c r="I31" s="5"/>
      <c r="J31" s="5"/>
      <c r="K31" s="5"/>
      <c r="L31" s="6">
        <f t="shared" ref="L31" si="5">SUM(C31:K31)</f>
        <v>6338.82</v>
      </c>
      <c r="M31" s="5">
        <v>738.71</v>
      </c>
      <c r="N31" s="5">
        <v>670.67</v>
      </c>
      <c r="O31" s="5"/>
      <c r="P31" s="5"/>
      <c r="Q31" s="5"/>
      <c r="R31" s="5"/>
      <c r="S31" s="5"/>
      <c r="T31" s="5"/>
      <c r="U31" s="5">
        <v>29.73</v>
      </c>
      <c r="V31" s="6">
        <f t="shared" si="1"/>
        <v>1439.1100000000001</v>
      </c>
      <c r="W31" s="5">
        <v>0</v>
      </c>
      <c r="X31" s="6">
        <f t="shared" ref="X31" si="6">L31-V31</f>
        <v>4899.7099999999991</v>
      </c>
      <c r="Y31" s="5">
        <v>507.11</v>
      </c>
      <c r="Z31" s="19"/>
      <c r="AA31" s="5">
        <v>612.58266666666668</v>
      </c>
    </row>
    <row r="32" spans="1:27" s="10" customFormat="1" x14ac:dyDescent="0.25">
      <c r="A32" s="17" t="s">
        <v>52</v>
      </c>
      <c r="B32" s="25" t="s">
        <v>13</v>
      </c>
      <c r="C32" s="5">
        <v>11857.34</v>
      </c>
      <c r="D32" s="5"/>
      <c r="E32" s="5"/>
      <c r="F32" s="5"/>
      <c r="G32" s="5"/>
      <c r="H32" s="5"/>
      <c r="I32" s="5"/>
      <c r="J32" s="5"/>
      <c r="K32" s="5"/>
      <c r="L32" s="6">
        <f t="shared" si="0"/>
        <v>11857.34</v>
      </c>
      <c r="M32" s="5">
        <v>751.97</v>
      </c>
      <c r="N32" s="5">
        <v>2184.62</v>
      </c>
      <c r="O32" s="5"/>
      <c r="P32" s="5">
        <v>62.28</v>
      </c>
      <c r="Q32" s="5"/>
      <c r="R32" s="5"/>
      <c r="S32" s="5"/>
      <c r="T32" s="5"/>
      <c r="U32" s="5">
        <v>40.54</v>
      </c>
      <c r="V32" s="6">
        <f t="shared" si="1"/>
        <v>3039.4100000000003</v>
      </c>
      <c r="W32" s="5">
        <v>0</v>
      </c>
      <c r="X32" s="6">
        <f t="shared" si="2"/>
        <v>8817.93</v>
      </c>
      <c r="Y32" s="5">
        <v>948.59</v>
      </c>
      <c r="Z32" s="19"/>
      <c r="AA32" s="5">
        <v>835.34</v>
      </c>
    </row>
    <row r="33" spans="1:27" x14ac:dyDescent="0.25">
      <c r="A33" s="17" t="s">
        <v>7</v>
      </c>
      <c r="B33" s="25" t="s">
        <v>79</v>
      </c>
      <c r="C33" s="5">
        <v>11066.85</v>
      </c>
      <c r="D33" s="5"/>
      <c r="E33" s="5"/>
      <c r="F33" s="5"/>
      <c r="G33" s="5">
        <f>5269.93*2/10</f>
        <v>1053.9860000000001</v>
      </c>
      <c r="H33" s="5"/>
      <c r="I33" s="5"/>
      <c r="J33" s="5"/>
      <c r="K33" s="5"/>
      <c r="L33" s="6">
        <f t="shared" si="0"/>
        <v>12120.836000000001</v>
      </c>
      <c r="M33" s="22">
        <f>79.04+672.93</f>
        <v>751.96999999999991</v>
      </c>
      <c r="N33" s="5">
        <f>1988.97</f>
        <v>1988.97</v>
      </c>
      <c r="O33" s="5"/>
      <c r="P33" s="5">
        <v>62.28</v>
      </c>
      <c r="Q33" s="5"/>
      <c r="R33" s="5"/>
      <c r="S33" s="5">
        <f>5269.93*2/10-79.04</f>
        <v>974.94600000000014</v>
      </c>
      <c r="T33" s="5"/>
      <c r="U33" s="5">
        <v>40.54</v>
      </c>
      <c r="V33" s="6">
        <f t="shared" si="1"/>
        <v>3818.7060000000001</v>
      </c>
      <c r="W33" s="5">
        <v>0</v>
      </c>
      <c r="X33" s="6">
        <f t="shared" si="2"/>
        <v>8302.130000000001</v>
      </c>
      <c r="Y33" s="5">
        <f>84.31+885.35</f>
        <v>969.66000000000008</v>
      </c>
      <c r="Z33" s="19"/>
      <c r="AA33" s="5">
        <v>835.34</v>
      </c>
    </row>
    <row r="34" spans="1:27" x14ac:dyDescent="0.25">
      <c r="A34" s="17" t="s">
        <v>8</v>
      </c>
      <c r="B34" s="25" t="s">
        <v>80</v>
      </c>
      <c r="C34" s="5">
        <v>9734.3700000000008</v>
      </c>
      <c r="D34" s="5"/>
      <c r="E34" s="5"/>
      <c r="F34" s="5"/>
      <c r="G34" s="5"/>
      <c r="H34" s="5"/>
      <c r="I34" s="5"/>
      <c r="J34" s="5"/>
      <c r="K34" s="5">
        <v>358.21</v>
      </c>
      <c r="L34" s="6">
        <f t="shared" si="0"/>
        <v>10092.58</v>
      </c>
      <c r="M34" s="5">
        <v>751.97</v>
      </c>
      <c r="N34" s="5">
        <v>1548.66</v>
      </c>
      <c r="O34" s="5"/>
      <c r="P34" s="5"/>
      <c r="Q34" s="5"/>
      <c r="R34" s="5"/>
      <c r="S34" s="5"/>
      <c r="T34" s="5"/>
      <c r="U34" s="5">
        <v>40.54</v>
      </c>
      <c r="V34" s="6">
        <f t="shared" si="1"/>
        <v>2341.17</v>
      </c>
      <c r="W34" s="5">
        <v>0</v>
      </c>
      <c r="X34" s="6">
        <f t="shared" si="2"/>
        <v>7751.41</v>
      </c>
      <c r="Y34" s="5">
        <v>778.75</v>
      </c>
      <c r="Z34" s="19"/>
      <c r="AA34" s="5">
        <v>835.34</v>
      </c>
    </row>
    <row r="35" spans="1:27" s="10" customFormat="1" x14ac:dyDescent="0.25">
      <c r="A35" s="17" t="s">
        <v>9</v>
      </c>
      <c r="B35" s="25" t="s">
        <v>98</v>
      </c>
      <c r="C35" s="5">
        <v>3296.1</v>
      </c>
      <c r="D35" s="5">
        <v>988.83</v>
      </c>
      <c r="E35" s="5"/>
      <c r="F35" s="5"/>
      <c r="G35" s="5"/>
      <c r="H35" s="5"/>
      <c r="I35" s="5"/>
      <c r="J35" s="5"/>
      <c r="K35" s="5"/>
      <c r="L35" s="6">
        <f t="shared" si="0"/>
        <v>4284.93</v>
      </c>
      <c r="M35" s="5">
        <v>451.16</v>
      </c>
      <c r="N35" s="5">
        <v>226.47</v>
      </c>
      <c r="O35" s="5">
        <v>25</v>
      </c>
      <c r="P35" s="5">
        <v>86.75</v>
      </c>
      <c r="Q35" s="5"/>
      <c r="R35" s="5"/>
      <c r="S35" s="5"/>
      <c r="T35" s="5"/>
      <c r="U35" s="5">
        <v>40.54</v>
      </c>
      <c r="V35" s="6">
        <f t="shared" si="1"/>
        <v>829.92</v>
      </c>
      <c r="W35" s="5">
        <v>0</v>
      </c>
      <c r="X35" s="6">
        <f t="shared" si="2"/>
        <v>3455.01</v>
      </c>
      <c r="Y35" s="5">
        <v>342.79</v>
      </c>
      <c r="Z35" s="19"/>
      <c r="AA35" s="5">
        <v>835.34</v>
      </c>
    </row>
    <row r="36" spans="1:27" s="10" customFormat="1" x14ac:dyDescent="0.25">
      <c r="A36" s="17" t="s">
        <v>64</v>
      </c>
      <c r="B36" s="25" t="s">
        <v>81</v>
      </c>
      <c r="C36" s="5">
        <v>5217.05</v>
      </c>
      <c r="D36" s="5"/>
      <c r="E36" s="5"/>
      <c r="F36" s="5"/>
      <c r="G36" s="5"/>
      <c r="H36" s="5"/>
      <c r="I36" s="5"/>
      <c r="J36" s="5"/>
      <c r="K36" s="5"/>
      <c r="L36" s="6">
        <f t="shared" si="0"/>
        <v>5217.05</v>
      </c>
      <c r="M36" s="5">
        <v>581.66</v>
      </c>
      <c r="N36" s="5">
        <v>406.83</v>
      </c>
      <c r="O36" s="5"/>
      <c r="P36" s="5"/>
      <c r="Q36" s="5"/>
      <c r="R36" s="5"/>
      <c r="S36" s="5"/>
      <c r="T36" s="5"/>
      <c r="U36" s="5">
        <v>40.54</v>
      </c>
      <c r="V36" s="6">
        <f t="shared" si="1"/>
        <v>1029.03</v>
      </c>
      <c r="W36" s="5">
        <v>0</v>
      </c>
      <c r="X36" s="6">
        <f t="shared" si="2"/>
        <v>4188.0200000000004</v>
      </c>
      <c r="Y36" s="5">
        <v>417.36</v>
      </c>
      <c r="Z36" s="19"/>
      <c r="AA36" s="5">
        <v>835.34</v>
      </c>
    </row>
    <row r="37" spans="1:27" s="10" customFormat="1" x14ac:dyDescent="0.25">
      <c r="A37" s="17" t="s">
        <v>108</v>
      </c>
      <c r="B37" s="25" t="s">
        <v>109</v>
      </c>
      <c r="C37" s="5">
        <v>2059.8000000000002</v>
      </c>
      <c r="D37" s="5"/>
      <c r="E37" s="5"/>
      <c r="F37" s="5"/>
      <c r="G37" s="5"/>
      <c r="H37" s="5"/>
      <c r="I37" s="5"/>
      <c r="J37" s="5"/>
      <c r="K37" s="5"/>
      <c r="L37" s="6">
        <f t="shared" ref="L37" si="7">SUM(C37:K37)</f>
        <v>2059.8000000000002</v>
      </c>
      <c r="M37" s="5">
        <v>168.88</v>
      </c>
      <c r="N37" s="5"/>
      <c r="O37" s="5"/>
      <c r="P37" s="5"/>
      <c r="Q37" s="5"/>
      <c r="R37" s="5"/>
      <c r="S37" s="5"/>
      <c r="T37" s="5"/>
      <c r="U37" s="5">
        <v>22.97</v>
      </c>
      <c r="V37" s="6">
        <f t="shared" si="1"/>
        <v>191.85</v>
      </c>
      <c r="W37" s="5">
        <v>0</v>
      </c>
      <c r="X37" s="6">
        <f t="shared" ref="X37" si="8">L37-V37</f>
        <v>1867.9500000000003</v>
      </c>
      <c r="Y37" s="5">
        <v>164.78</v>
      </c>
      <c r="Z37" s="19"/>
      <c r="AA37" s="5">
        <v>473.36</v>
      </c>
    </row>
    <row r="38" spans="1:27" x14ac:dyDescent="0.25">
      <c r="A38" s="17" t="s">
        <v>10</v>
      </c>
      <c r="B38" s="25" t="s">
        <v>82</v>
      </c>
      <c r="C38" s="5">
        <v>3168.1</v>
      </c>
      <c r="D38" s="5"/>
      <c r="E38" s="5"/>
      <c r="F38" s="5"/>
      <c r="G38" s="5"/>
      <c r="H38" s="5"/>
      <c r="I38" s="5"/>
      <c r="J38" s="5"/>
      <c r="K38" s="5"/>
      <c r="L38" s="6">
        <f t="shared" si="0"/>
        <v>3168.1</v>
      </c>
      <c r="M38" s="5">
        <v>297.56</v>
      </c>
      <c r="N38" s="5">
        <v>75.78</v>
      </c>
      <c r="O38" s="5"/>
      <c r="P38" s="5">
        <v>15.57</v>
      </c>
      <c r="Q38" s="5"/>
      <c r="R38" s="5"/>
      <c r="S38" s="5"/>
      <c r="T38" s="5"/>
      <c r="U38" s="5">
        <v>40.54</v>
      </c>
      <c r="V38" s="6">
        <f t="shared" si="1"/>
        <v>429.45000000000005</v>
      </c>
      <c r="W38" s="5">
        <v>0</v>
      </c>
      <c r="X38" s="6">
        <f t="shared" si="2"/>
        <v>2738.6499999999996</v>
      </c>
      <c r="Y38" s="5">
        <v>253.45</v>
      </c>
      <c r="Z38" s="19"/>
      <c r="AA38" s="5">
        <v>835.34</v>
      </c>
    </row>
    <row r="39" spans="1:27" s="10" customFormat="1" x14ac:dyDescent="0.25">
      <c r="A39" s="17" t="s">
        <v>111</v>
      </c>
      <c r="B39" s="25" t="s">
        <v>103</v>
      </c>
      <c r="C39" s="5">
        <v>688.36</v>
      </c>
      <c r="D39" s="5"/>
      <c r="E39" s="5"/>
      <c r="F39" s="5"/>
      <c r="G39" s="5"/>
      <c r="H39" s="5"/>
      <c r="I39" s="5"/>
      <c r="J39" s="5"/>
      <c r="K39" s="5">
        <v>62.87</v>
      </c>
      <c r="L39" s="6">
        <f>SUM(C39:K39)</f>
        <v>751.23</v>
      </c>
      <c r="M39" s="5"/>
      <c r="N39" s="5"/>
      <c r="O39" s="5"/>
      <c r="P39" s="5"/>
      <c r="Q39" s="5"/>
      <c r="R39" s="5"/>
      <c r="S39" s="5"/>
      <c r="T39" s="5"/>
      <c r="U39" s="5"/>
      <c r="V39" s="6">
        <f>SUM(M39:U39)</f>
        <v>0</v>
      </c>
      <c r="W39" s="5">
        <v>0</v>
      </c>
      <c r="X39" s="6">
        <f>L39-V39</f>
        <v>751.23</v>
      </c>
      <c r="Y39" s="5"/>
      <c r="Z39" s="19"/>
      <c r="AA39" s="5"/>
    </row>
    <row r="40" spans="1:27" s="10" customFormat="1" x14ac:dyDescent="0.25">
      <c r="A40" s="17" t="s">
        <v>11</v>
      </c>
      <c r="B40" s="25" t="s">
        <v>83</v>
      </c>
      <c r="C40" s="5">
        <v>3013.06</v>
      </c>
      <c r="D40" s="5"/>
      <c r="E40" s="5"/>
      <c r="F40" s="5"/>
      <c r="G40" s="5">
        <f>3102.84*10/15</f>
        <v>2068.56</v>
      </c>
      <c r="H40" s="5"/>
      <c r="I40" s="5"/>
      <c r="J40" s="5"/>
      <c r="K40" s="5"/>
      <c r="L40" s="6">
        <f t="shared" si="0"/>
        <v>5081.62</v>
      </c>
      <c r="M40" s="5">
        <f>169.67+393.03</f>
        <v>562.69999999999993</v>
      </c>
      <c r="N40" s="5">
        <f>73.54+53.7</f>
        <v>127.24000000000001</v>
      </c>
      <c r="O40" s="5"/>
      <c r="P40" s="5">
        <v>113.64</v>
      </c>
      <c r="Q40" s="5"/>
      <c r="R40" s="5"/>
      <c r="S40" s="5">
        <f>3102.84*10/15-169.67-73.54</f>
        <v>1825.35</v>
      </c>
      <c r="T40" s="5"/>
      <c r="U40" s="5">
        <v>40.54</v>
      </c>
      <c r="V40" s="6">
        <f t="shared" si="1"/>
        <v>2669.47</v>
      </c>
      <c r="W40" s="5">
        <v>0</v>
      </c>
      <c r="X40" s="6">
        <f t="shared" si="2"/>
        <v>2412.15</v>
      </c>
      <c r="Y40" s="5">
        <f>165.48+241.04</f>
        <v>406.52</v>
      </c>
      <c r="Z40" s="19"/>
      <c r="AA40" s="5">
        <v>835.34</v>
      </c>
    </row>
    <row r="41" spans="1:27" s="10" customFormat="1" x14ac:dyDescent="0.25">
      <c r="A41" s="17" t="s">
        <v>61</v>
      </c>
      <c r="B41" s="25" t="s">
        <v>58</v>
      </c>
      <c r="C41" s="5">
        <v>9356.3700000000008</v>
      </c>
      <c r="D41" s="5"/>
      <c r="E41" s="5"/>
      <c r="F41" s="5"/>
      <c r="G41" s="5"/>
      <c r="H41" s="5"/>
      <c r="I41" s="5"/>
      <c r="J41" s="5"/>
      <c r="K41" s="5"/>
      <c r="L41" s="6">
        <f t="shared" si="0"/>
        <v>9356.3700000000008</v>
      </c>
      <c r="M41" s="5">
        <v>751.97</v>
      </c>
      <c r="N41" s="5">
        <v>1444.71</v>
      </c>
      <c r="O41" s="5">
        <v>25</v>
      </c>
      <c r="P41" s="5">
        <f>62.38+366.35+267.53</f>
        <v>696.26</v>
      </c>
      <c r="Q41" s="5"/>
      <c r="R41" s="5"/>
      <c r="S41" s="5"/>
      <c r="T41" s="5"/>
      <c r="U41" s="5">
        <v>40.54</v>
      </c>
      <c r="V41" s="6">
        <f t="shared" si="1"/>
        <v>2958.4800000000005</v>
      </c>
      <c r="W41" s="5">
        <v>0</v>
      </c>
      <c r="X41" s="6">
        <f t="shared" si="2"/>
        <v>6397.89</v>
      </c>
      <c r="Y41" s="5">
        <v>748.51</v>
      </c>
      <c r="Z41" s="19"/>
      <c r="AA41" s="5">
        <v>835.34</v>
      </c>
    </row>
    <row r="42" spans="1:27" s="10" customFormat="1" x14ac:dyDescent="0.25">
      <c r="A42" s="17" t="s">
        <v>87</v>
      </c>
      <c r="B42" s="25" t="s">
        <v>100</v>
      </c>
      <c r="C42" s="5">
        <v>860.45</v>
      </c>
      <c r="D42" s="5"/>
      <c r="E42" s="5"/>
      <c r="F42" s="5"/>
      <c r="G42" s="5"/>
      <c r="H42" s="5"/>
      <c r="I42" s="5"/>
      <c r="J42" s="5"/>
      <c r="K42" s="5">
        <v>78.59</v>
      </c>
      <c r="L42" s="6">
        <f t="shared" si="0"/>
        <v>939.04000000000008</v>
      </c>
      <c r="M42" s="5"/>
      <c r="N42" s="5"/>
      <c r="O42" s="5"/>
      <c r="P42" s="5"/>
      <c r="Q42" s="5"/>
      <c r="R42" s="5"/>
      <c r="S42" s="5"/>
      <c r="T42" s="5"/>
      <c r="U42" s="5"/>
      <c r="V42" s="6">
        <f>SUM(M42:U42)</f>
        <v>0</v>
      </c>
      <c r="W42" s="5">
        <v>0</v>
      </c>
      <c r="X42" s="6">
        <f t="shared" si="2"/>
        <v>939.04000000000008</v>
      </c>
      <c r="Y42" s="5"/>
      <c r="Z42" s="19"/>
      <c r="AA42" s="5"/>
    </row>
    <row r="43" spans="1:27" s="10" customFormat="1" x14ac:dyDescent="0.25">
      <c r="A43" s="17" t="s">
        <v>46</v>
      </c>
      <c r="B43" s="25" t="s">
        <v>17</v>
      </c>
      <c r="C43" s="5">
        <v>9129.49</v>
      </c>
      <c r="D43" s="5"/>
      <c r="E43" s="5"/>
      <c r="F43" s="5"/>
      <c r="G43" s="5"/>
      <c r="H43" s="5"/>
      <c r="I43" s="5"/>
      <c r="J43" s="5"/>
      <c r="K43" s="5"/>
      <c r="L43" s="6">
        <f t="shared" si="0"/>
        <v>9129.49</v>
      </c>
      <c r="M43" s="5">
        <v>751.97</v>
      </c>
      <c r="N43" s="5">
        <v>1434.46</v>
      </c>
      <c r="O43" s="5"/>
      <c r="P43" s="5">
        <v>62.38</v>
      </c>
      <c r="Q43" s="5"/>
      <c r="R43" s="5"/>
      <c r="S43" s="5"/>
      <c r="T43" s="5"/>
      <c r="U43" s="5">
        <v>40.54</v>
      </c>
      <c r="V43" s="6">
        <f t="shared" si="1"/>
        <v>2289.3500000000004</v>
      </c>
      <c r="W43" s="5">
        <v>0</v>
      </c>
      <c r="X43" s="6">
        <f t="shared" si="2"/>
        <v>6840.1399999999994</v>
      </c>
      <c r="Y43" s="5">
        <v>730.36</v>
      </c>
      <c r="Z43" s="19"/>
      <c r="AA43" s="5">
        <v>835.34</v>
      </c>
    </row>
    <row r="44" spans="1:27" x14ac:dyDescent="0.25">
      <c r="A44" s="17" t="s">
        <v>12</v>
      </c>
      <c r="B44" s="25" t="s">
        <v>71</v>
      </c>
      <c r="C44" s="5">
        <v>3497.84</v>
      </c>
      <c r="D44" s="5"/>
      <c r="E44" s="5"/>
      <c r="F44" s="5"/>
      <c r="G44" s="5"/>
      <c r="H44" s="5"/>
      <c r="I44" s="5"/>
      <c r="J44" s="5"/>
      <c r="K44" s="5"/>
      <c r="L44" s="6">
        <f t="shared" si="0"/>
        <v>3497.84</v>
      </c>
      <c r="M44" s="5">
        <v>340.97</v>
      </c>
      <c r="N44" s="5">
        <v>118.73</v>
      </c>
      <c r="O44" s="5"/>
      <c r="P44" s="5">
        <v>15.57</v>
      </c>
      <c r="Q44" s="5"/>
      <c r="R44" s="5"/>
      <c r="S44" s="5"/>
      <c r="T44" s="5"/>
      <c r="U44" s="5">
        <v>40.54</v>
      </c>
      <c r="V44" s="6">
        <f t="shared" si="1"/>
        <v>515.81000000000006</v>
      </c>
      <c r="W44" s="5">
        <v>0</v>
      </c>
      <c r="X44" s="6">
        <f t="shared" si="2"/>
        <v>2982.03</v>
      </c>
      <c r="Y44" s="5">
        <v>279.83</v>
      </c>
      <c r="Z44" s="19"/>
      <c r="AA44" s="5">
        <v>835.34</v>
      </c>
    </row>
    <row r="45" spans="1:27" s="12" customFormat="1" x14ac:dyDescent="0.25">
      <c r="A45" s="11" t="s">
        <v>45</v>
      </c>
      <c r="B45" s="27"/>
      <c r="C45" s="6">
        <f>SUM(C4:C44)</f>
        <v>223010.16999999998</v>
      </c>
      <c r="D45" s="6">
        <f t="shared" ref="D45:AA45" si="9">SUM(D4:D44)</f>
        <v>4693.07</v>
      </c>
      <c r="E45" s="6">
        <f t="shared" si="9"/>
        <v>1243.43</v>
      </c>
      <c r="F45" s="6">
        <f t="shared" si="9"/>
        <v>0</v>
      </c>
      <c r="G45" s="6">
        <f t="shared" si="9"/>
        <v>12240.135333333334</v>
      </c>
      <c r="H45" s="6">
        <f t="shared" si="9"/>
        <v>0</v>
      </c>
      <c r="I45" s="6">
        <f t="shared" si="9"/>
        <v>1554.6100000000001</v>
      </c>
      <c r="J45" s="6">
        <f t="shared" si="9"/>
        <v>0</v>
      </c>
      <c r="K45" s="6">
        <f t="shared" si="9"/>
        <v>3407.62</v>
      </c>
      <c r="L45" s="6">
        <f t="shared" si="9"/>
        <v>246149.0353333333</v>
      </c>
      <c r="M45" s="6">
        <f t="shared" si="9"/>
        <v>19010.759999999998</v>
      </c>
      <c r="N45" s="6">
        <f t="shared" si="9"/>
        <v>30966.91</v>
      </c>
      <c r="O45" s="6">
        <f t="shared" si="9"/>
        <v>50</v>
      </c>
      <c r="P45" s="6">
        <f t="shared" si="9"/>
        <v>5528.05</v>
      </c>
      <c r="Q45" s="6">
        <f t="shared" si="9"/>
        <v>0</v>
      </c>
      <c r="R45" s="6">
        <f t="shared" si="9"/>
        <v>0</v>
      </c>
      <c r="S45" s="6">
        <f t="shared" si="9"/>
        <v>13352.255999999999</v>
      </c>
      <c r="T45" s="6">
        <f t="shared" si="9"/>
        <v>0</v>
      </c>
      <c r="U45" s="6">
        <f t="shared" si="9"/>
        <v>1367.5499999999995</v>
      </c>
      <c r="V45" s="6">
        <f t="shared" si="9"/>
        <v>70275.525999999983</v>
      </c>
      <c r="W45" s="6">
        <f t="shared" si="9"/>
        <v>1100.6500000000001</v>
      </c>
      <c r="X45" s="6">
        <f t="shared" si="9"/>
        <v>174772.85933333336</v>
      </c>
      <c r="Y45" s="6">
        <f t="shared" si="9"/>
        <v>18896.230000000003</v>
      </c>
      <c r="Z45" s="6">
        <f t="shared" si="9"/>
        <v>0</v>
      </c>
      <c r="AA45" s="6">
        <f t="shared" si="9"/>
        <v>28178.802666666666</v>
      </c>
    </row>
    <row r="46" spans="1:27" x14ac:dyDescent="0.25">
      <c r="A46" s="1" t="s">
        <v>101</v>
      </c>
    </row>
    <row r="47" spans="1:27" x14ac:dyDescent="0.25">
      <c r="A47" s="1" t="s">
        <v>114</v>
      </c>
    </row>
    <row r="49" spans="22:22" x14ac:dyDescent="0.25">
      <c r="V49" s="15"/>
    </row>
  </sheetData>
  <mergeCells count="30">
    <mergeCell ref="Z2:Z3"/>
    <mergeCell ref="AA2:AA3"/>
    <mergeCell ref="Y2:Y3"/>
    <mergeCell ref="Y1:AA1"/>
    <mergeCell ref="M1:V1"/>
    <mergeCell ref="W1:X1"/>
    <mergeCell ref="V2:V3"/>
    <mergeCell ref="X2:X3"/>
    <mergeCell ref="W2:W3"/>
    <mergeCell ref="S2:S3"/>
    <mergeCell ref="T2:U2"/>
    <mergeCell ref="R2:R3"/>
    <mergeCell ref="Q2:Q3"/>
    <mergeCell ref="M2:M3"/>
    <mergeCell ref="N2:N3"/>
    <mergeCell ref="O2:O3"/>
    <mergeCell ref="P2:P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</mergeCells>
  <pageMargins left="0.23622047244094491" right="0.23622047244094491" top="1.1417322834645669" bottom="0.19685039370078741" header="0.31496062992125984" footer="0.31496062992125984"/>
  <pageSetup paperSize="9" scale="90" fitToWidth="0" orientation="landscape" r:id="rId1"/>
  <headerFooter>
    <oddHeader>&amp;L&amp;G&amp;RDEMONSTRATIVO DETALHADO DA FOLHA DE PAGAMENTO
JUNHO/2021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062021</vt:lpstr>
      <vt:lpstr>'Folha 062021'!Area_de_impressao</vt:lpstr>
      <vt:lpstr>'Folha 062021'!Dias_úteis</vt:lpstr>
      <vt:lpstr>'Folha 062021'!Titulos_de_impressao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Helen Germann Patricio</cp:lastModifiedBy>
  <cp:lastPrinted>2021-09-07T20:40:09Z</cp:lastPrinted>
  <dcterms:created xsi:type="dcterms:W3CDTF">2016-01-08T13:50:30Z</dcterms:created>
  <dcterms:modified xsi:type="dcterms:W3CDTF">2021-09-07T20:41:52Z</dcterms:modified>
</cp:coreProperties>
</file>