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ransparência\Gestao_de_Pessoas 2020\4-Folhas_de_Pagamento\2022\"/>
    </mc:Choice>
  </mc:AlternateContent>
  <bookViews>
    <workbookView xWindow="480" yWindow="660" windowWidth="19872" windowHeight="7416" tabRatio="422"/>
  </bookViews>
  <sheets>
    <sheet name="Folha 122022" sheetId="2" r:id="rId1"/>
  </sheets>
  <definedNames>
    <definedName name="_xlnm.Print_Area" localSheetId="0">'Folha 122022'!$A$1:$AC$51</definedName>
    <definedName name="Dias_úteis" localSheetId="0">'Folha 122022'!$D$2</definedName>
    <definedName name="_xlnm.Print_Titles" localSheetId="0">'Folha 122022'!$A:$B</definedName>
  </definedNames>
  <calcPr calcId="162913"/>
</workbook>
</file>

<file path=xl/calcChain.xml><?xml version="1.0" encoding="utf-8"?>
<calcChain xmlns="http://schemas.openxmlformats.org/spreadsheetml/2006/main">
  <c r="M8" i="2" l="1"/>
  <c r="H19" i="2"/>
  <c r="H41" i="2"/>
  <c r="H46" i="2" l="1"/>
  <c r="H45" i="2"/>
  <c r="H42" i="2"/>
  <c r="H40" i="2"/>
  <c r="H38" i="2"/>
  <c r="H37" i="2"/>
  <c r="H36" i="2"/>
  <c r="H35" i="2"/>
  <c r="H34" i="2"/>
  <c r="H33" i="2"/>
  <c r="H32" i="2"/>
  <c r="H31" i="2"/>
  <c r="H30" i="2"/>
  <c r="H29" i="2"/>
  <c r="H26" i="2"/>
  <c r="H25" i="2"/>
  <c r="H22" i="2"/>
  <c r="H21" i="2"/>
  <c r="H20" i="2"/>
  <c r="H18" i="2"/>
  <c r="H14" i="2"/>
  <c r="H17" i="2"/>
  <c r="H16" i="2"/>
  <c r="H15" i="2"/>
  <c r="H13" i="2"/>
  <c r="H12" i="2"/>
  <c r="H11" i="2"/>
  <c r="H9" i="2"/>
  <c r="H8" i="2"/>
  <c r="H5" i="2"/>
  <c r="P49" i="2"/>
  <c r="O38" i="2"/>
  <c r="O49" i="2"/>
  <c r="N38" i="2" l="1"/>
  <c r="M38" i="2"/>
  <c r="U8" i="2"/>
  <c r="G8" i="2"/>
  <c r="R42" i="2" l="1"/>
  <c r="R40" i="2"/>
  <c r="X28" i="2"/>
  <c r="L39" i="2"/>
  <c r="X39" i="2"/>
  <c r="R31" i="2"/>
  <c r="R30" i="2"/>
  <c r="R25" i="2"/>
  <c r="R21" i="2"/>
  <c r="R18" i="2"/>
  <c r="R16" i="2"/>
  <c r="R14" i="2"/>
  <c r="R11" i="2"/>
  <c r="R9" i="2"/>
  <c r="R5" i="2"/>
  <c r="K43" i="2"/>
  <c r="F41" i="2"/>
  <c r="F35" i="2"/>
  <c r="L28" i="2"/>
  <c r="Z28" i="2" s="1"/>
  <c r="F14" i="2"/>
  <c r="F13" i="2"/>
  <c r="Z39" i="2" l="1"/>
  <c r="X6" i="2"/>
  <c r="X7" i="2"/>
  <c r="X8" i="2"/>
  <c r="X9" i="2"/>
  <c r="X10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9" i="2"/>
  <c r="L30" i="2"/>
  <c r="L31" i="2"/>
  <c r="L32" i="2"/>
  <c r="L33" i="2"/>
  <c r="L34" i="2"/>
  <c r="L35" i="2"/>
  <c r="L36" i="2"/>
  <c r="L37" i="2"/>
  <c r="L38" i="2"/>
  <c r="L40" i="2"/>
  <c r="L41" i="2"/>
  <c r="L42" i="2"/>
  <c r="L43" i="2"/>
  <c r="L44" i="2"/>
  <c r="L45" i="2"/>
  <c r="L46" i="2"/>
  <c r="L47" i="2"/>
  <c r="L48" i="2"/>
  <c r="Z9" i="2" l="1"/>
  <c r="Z8" i="2"/>
  <c r="Z7" i="2"/>
  <c r="Z10" i="2"/>
  <c r="Z6" i="2"/>
  <c r="X23" i="2"/>
  <c r="X33" i="2"/>
  <c r="X22" i="2"/>
  <c r="X25" i="2"/>
  <c r="X46" i="2"/>
  <c r="Z46" i="2" s="1"/>
  <c r="X47" i="2"/>
  <c r="Z47" i="2" s="1"/>
  <c r="X48" i="2"/>
  <c r="Z48" i="2" s="1"/>
  <c r="X5" i="2"/>
  <c r="X11" i="2"/>
  <c r="Z11" i="2" s="1"/>
  <c r="X12" i="2"/>
  <c r="X13" i="2"/>
  <c r="X14" i="2"/>
  <c r="X15" i="2"/>
  <c r="X16" i="2"/>
  <c r="X17" i="2"/>
  <c r="X18" i="2"/>
  <c r="X20" i="2"/>
  <c r="X21" i="2"/>
  <c r="X24" i="2"/>
  <c r="Z24" i="2" s="1"/>
  <c r="X26" i="2"/>
  <c r="X27" i="2"/>
  <c r="Z27" i="2" s="1"/>
  <c r="X29" i="2"/>
  <c r="Z29" i="2" s="1"/>
  <c r="X30" i="2"/>
  <c r="Z30" i="2" s="1"/>
  <c r="X31" i="2"/>
  <c r="X32" i="2"/>
  <c r="Z32" i="2" s="1"/>
  <c r="X34" i="2"/>
  <c r="X35" i="2"/>
  <c r="X36" i="2"/>
  <c r="X37" i="2"/>
  <c r="X38" i="2"/>
  <c r="Z38" i="2" s="1"/>
  <c r="X40" i="2"/>
  <c r="X41" i="2"/>
  <c r="Z41" i="2" s="1"/>
  <c r="X42" i="2"/>
  <c r="Z42" i="2" s="1"/>
  <c r="X43" i="2"/>
  <c r="Z43" i="2" s="1"/>
  <c r="X44" i="2"/>
  <c r="Z44" i="2" s="1"/>
  <c r="X45" i="2"/>
  <c r="Z45" i="2" s="1"/>
  <c r="X4" i="2"/>
  <c r="L4" i="2"/>
  <c r="D49" i="2"/>
  <c r="E49" i="2"/>
  <c r="F49" i="2"/>
  <c r="H49" i="2"/>
  <c r="J49" i="2"/>
  <c r="K49" i="2"/>
  <c r="M49" i="2"/>
  <c r="Q49" i="2"/>
  <c r="R49" i="2"/>
  <c r="S49" i="2"/>
  <c r="T49" i="2"/>
  <c r="V49" i="2"/>
  <c r="W49" i="2"/>
  <c r="Y49" i="2"/>
  <c r="AB49" i="2"/>
  <c r="AC49" i="2"/>
  <c r="C49" i="2"/>
  <c r="Z36" i="2" l="1"/>
  <c r="Z17" i="2"/>
  <c r="Z4" i="2"/>
  <c r="Z35" i="2"/>
  <c r="Z21" i="2"/>
  <c r="Z16" i="2"/>
  <c r="Z12" i="2"/>
  <c r="Z31" i="2"/>
  <c r="Z26" i="2"/>
  <c r="Z22" i="2"/>
  <c r="Z34" i="2"/>
  <c r="Z20" i="2"/>
  <c r="Z15" i="2"/>
  <c r="Z13" i="2"/>
  <c r="Z18" i="2"/>
  <c r="Z14" i="2"/>
  <c r="Z5" i="2"/>
  <c r="Z33" i="2"/>
  <c r="Z40" i="2"/>
  <c r="Z23" i="2"/>
  <c r="Z37" i="2"/>
  <c r="AA49" i="2"/>
  <c r="N49" i="2"/>
  <c r="Z25" i="2"/>
  <c r="I49" i="2"/>
  <c r="G49" i="2"/>
  <c r="L49" i="2"/>
  <c r="U49" i="2" l="1"/>
  <c r="X19" i="2"/>
  <c r="X49" i="2" s="1"/>
  <c r="Z19" i="2" l="1"/>
  <c r="Z49" i="2" s="1"/>
</calcChain>
</file>

<file path=xl/sharedStrings.xml><?xml version="1.0" encoding="utf-8"?>
<sst xmlns="http://schemas.openxmlformats.org/spreadsheetml/2006/main" count="123" uniqueCount="120">
  <si>
    <t>Nome</t>
  </si>
  <si>
    <t>CARGO</t>
  </si>
  <si>
    <t>REMUNERAÇÕES + BENEFÍCIOS em R$</t>
  </si>
  <si>
    <t>DESCONTOS R$</t>
  </si>
  <si>
    <t>Liquidos</t>
  </si>
  <si>
    <t>Auxilios e Beneficios</t>
  </si>
  <si>
    <t>Auxílios EXTRAS</t>
  </si>
  <si>
    <t>Remune-
ração R$</t>
  </si>
  <si>
    <t>Horas
Extras R$</t>
  </si>
  <si>
    <t>13º Propor-
cional 
R$</t>
  </si>
  <si>
    <t>Férias 
R$</t>
  </si>
  <si>
    <t>Abono 
Pecuniário
R$</t>
  </si>
  <si>
    <t>Diárias 
Viagens
R$</t>
  </si>
  <si>
    <t>Ajuda
Custo/Outros
R$</t>
  </si>
  <si>
    <t>INSS
R$</t>
  </si>
  <si>
    <t>IRRF
R$</t>
  </si>
  <si>
    <t>Mens.
Sindicato
R$</t>
  </si>
  <si>
    <t>Faltas
R$</t>
  </si>
  <si>
    <t>Contribuição
 Sindical
R$</t>
  </si>
  <si>
    <t>Vale
 Transp
R$</t>
  </si>
  <si>
    <t>Vale
Aliment
R$</t>
  </si>
  <si>
    <t>Total 
Descontos
R$</t>
  </si>
  <si>
    <t>Rescisão
R$</t>
  </si>
  <si>
    <t>Remuneração
R$</t>
  </si>
  <si>
    <t>FGTS
R$</t>
  </si>
  <si>
    <t>Vale 
Transp
R$</t>
  </si>
  <si>
    <t>Vale 
Aliment
R$</t>
  </si>
  <si>
    <t>Total de
R$
Rendimentos</t>
  </si>
  <si>
    <t>Auxilio
Maternidade 
R$</t>
  </si>
  <si>
    <t xml:space="preserve">TOTAL GERAL DA FOLHA </t>
  </si>
  <si>
    <t>Função Gratificada</t>
  </si>
  <si>
    <t>Plano de Saúde
R$</t>
  </si>
  <si>
    <t>Alexandre Camilo Vieira</t>
  </si>
  <si>
    <t>Estagiário ASSJUR</t>
  </si>
  <si>
    <t>Alexandre Junckes Jacques</t>
  </si>
  <si>
    <t>Analista Administ./Finan. XV</t>
  </si>
  <si>
    <t>Amanda Crisitina Padova</t>
  </si>
  <si>
    <t>Estagiária ASSESP</t>
  </si>
  <si>
    <t>Amanda Marques da Silva</t>
  </si>
  <si>
    <t>Estagiária GERTEC</t>
  </si>
  <si>
    <t>Andrea Beatriz Fritz Bueno</t>
  </si>
  <si>
    <t>Assistente Técnico V</t>
  </si>
  <si>
    <t>Bruna Porto Martins</t>
  </si>
  <si>
    <t>Técnica em Secretariado XII</t>
  </si>
  <si>
    <t>Carmen Eugenia Alvarez Patron*</t>
  </si>
  <si>
    <t>Arquiteta Fiscal IX</t>
  </si>
  <si>
    <t>Cicero Hipólito da Silva Junior</t>
  </si>
  <si>
    <t>Advogado VIII</t>
  </si>
  <si>
    <t>Felipe Wagner da Silva</t>
  </si>
  <si>
    <t>Assistente Administrativo XVII</t>
  </si>
  <si>
    <t>Fernando Augusto Yudyro Hayashi</t>
  </si>
  <si>
    <t>Arquiteto e Urbanista VIII</t>
  </si>
  <si>
    <t>Fernando de Oliveira Volkmer</t>
  </si>
  <si>
    <t>Assistente Administrativo VII</t>
  </si>
  <si>
    <t>Filipe Lima Rockenbach</t>
  </si>
  <si>
    <t>Gerente Administrativo e Financeiro</t>
  </si>
  <si>
    <t>Franciani Rosalia Rigoni</t>
  </si>
  <si>
    <t>Analista Técnica XI</t>
  </si>
  <si>
    <t>Helen Germann Patricio</t>
  </si>
  <si>
    <t>Analista Administ./Finan. X</t>
  </si>
  <si>
    <t>Isabel Leal Marcon Leonetti</t>
  </si>
  <si>
    <t>Assessora Jurídica</t>
  </si>
  <si>
    <t>Isabela Souza de Borba</t>
  </si>
  <si>
    <t>Advogada X</t>
  </si>
  <si>
    <t>Isabella Pereira de Sousa</t>
  </si>
  <si>
    <t>Assistente Administrativo X</t>
  </si>
  <si>
    <t>Jaime Teixeira Chaves</t>
  </si>
  <si>
    <t>Secretário dos Órgãos Colegiados</t>
  </si>
  <si>
    <t>João Vicente Scarpin</t>
  </si>
  <si>
    <t>Gerente Geral</t>
  </si>
  <si>
    <t>Joyce Crisitina de Souza</t>
  </si>
  <si>
    <t>Estagiário GERFISC</t>
  </si>
  <si>
    <t>Jucelio Dall Agnol</t>
  </si>
  <si>
    <t>Estagiário ASSESP</t>
  </si>
  <si>
    <t>Juliana Donato Tacini</t>
  </si>
  <si>
    <t>Assistente Administrativa II</t>
  </si>
  <si>
    <t>Julianna Luiz Steffens</t>
  </si>
  <si>
    <t>Larissa Ruschel Teixeira Netto</t>
  </si>
  <si>
    <t>Leonardo Vistuba Kawa</t>
  </si>
  <si>
    <t>Gerente de Fiscalização</t>
  </si>
  <si>
    <t>Lilian Laudina Caovilla</t>
  </si>
  <si>
    <t>Arquiteto Fiscal VIII</t>
  </si>
  <si>
    <t>Maria Célia Fonseca</t>
  </si>
  <si>
    <t>Coordenadora de Tecnologia e Sistemas da Informação</t>
  </si>
  <si>
    <t>Marina Lemos Lameiras</t>
  </si>
  <si>
    <t>Arquiteto e Urbanista X</t>
  </si>
  <si>
    <t>Mayara Regina de Souza</t>
  </si>
  <si>
    <t>Arquiteta Fiscal X</t>
  </si>
  <si>
    <t>Melina Valença Marcondes</t>
  </si>
  <si>
    <t>Analista Técnica VIII</t>
  </si>
  <si>
    <t>Nayana Maria de Oliveira</t>
  </si>
  <si>
    <t>Assistente Técnica IX</t>
  </si>
  <si>
    <t>Olavo Coelho Arantes</t>
  </si>
  <si>
    <t>Analista Administrativo Financeiro III</t>
  </si>
  <si>
    <t>Pedro Schultz Fonseca Baptista</t>
  </si>
  <si>
    <t>Gerente Técnico</t>
  </si>
  <si>
    <t>Pery Roberto Segala Medeiros</t>
  </si>
  <si>
    <t>Assessor Especial Presidência</t>
  </si>
  <si>
    <t>Rodrigo David Barros Silva</t>
  </si>
  <si>
    <t>Assistente Técnico VII</t>
  </si>
  <si>
    <t>Tatiana Moreira Feres de Melo</t>
  </si>
  <si>
    <t>Técnico em Secretariado XVII</t>
  </si>
  <si>
    <t>Thiago Pereira Martins*</t>
  </si>
  <si>
    <t>Arquiteto Fiscal VI</t>
  </si>
  <si>
    <t>Thiago Vinicius Pedroso</t>
  </si>
  <si>
    <t>Estagiário GERAF</t>
  </si>
  <si>
    <t>Veraluz Rosa da Silva Oliveira</t>
  </si>
  <si>
    <t>Estagiária GERFISC</t>
  </si>
  <si>
    <t>Vinicius Bastos</t>
  </si>
  <si>
    <t>Assistente Administrativo II</t>
  </si>
  <si>
    <t>Yve Sarkis da Costa</t>
  </si>
  <si>
    <t>Assistente Administrativo XV</t>
  </si>
  <si>
    <t>*empregado afastado por auxílio-doença INSS</t>
  </si>
  <si>
    <t>Rafael Figueiró Otávio</t>
  </si>
  <si>
    <t>Analista de Compras, Contratos e Licitações I</t>
  </si>
  <si>
    <t>Laura Diniz Silveira</t>
  </si>
  <si>
    <t>INSS 13º
R$</t>
  </si>
  <si>
    <t>IRRF 13º
R$</t>
  </si>
  <si>
    <t>Adtos
Férias/
Outros
R$</t>
  </si>
  <si>
    <t>Publicado em 13/01/2023 por Helen Germann Patricio - Analista Administrativo e Financeiro do CAU/SC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</si>
</sst>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9BC2E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Alignment="1">
      <alignment vertical="center"/>
    </xf>
    <xf numFmtId="43" fontId="18" fillId="0" borderId="0" xfId="1" applyFont="1" applyAlignment="1">
      <alignment vertical="center"/>
    </xf>
    <xf numFmtId="43" fontId="19" fillId="0" borderId="0" xfId="1" applyFont="1" applyAlignment="1">
      <alignment vertical="center"/>
    </xf>
    <xf numFmtId="0" fontId="18" fillId="0" borderId="0" xfId="0" applyFont="1" applyFill="1" applyAlignment="1">
      <alignment vertical="center"/>
    </xf>
    <xf numFmtId="43" fontId="18" fillId="0" borderId="10" xfId="1" applyFont="1" applyFill="1" applyBorder="1" applyAlignment="1">
      <alignment vertical="center"/>
    </xf>
    <xf numFmtId="43" fontId="19" fillId="0" borderId="10" xfId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164" fontId="18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3" fontId="18" fillId="0" borderId="0" xfId="1" applyFont="1" applyFill="1" applyAlignment="1">
      <alignment vertical="center"/>
    </xf>
    <xf numFmtId="43" fontId="20" fillId="0" borderId="10" xfId="1" applyFont="1" applyFill="1" applyBorder="1" applyAlignment="1">
      <alignment vertical="center"/>
    </xf>
    <xf numFmtId="43" fontId="18" fillId="0" borderId="0" xfId="0" applyNumberFormat="1" applyFont="1" applyAlignment="1">
      <alignment vertical="center"/>
    </xf>
    <xf numFmtId="43" fontId="21" fillId="34" borderId="10" xfId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18" fillId="0" borderId="10" xfId="1" applyFont="1" applyFill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43" fontId="20" fillId="0" borderId="10" xfId="1" quotePrefix="1" applyFont="1" applyFill="1" applyBorder="1" applyAlignment="1">
      <alignment vertical="center"/>
    </xf>
    <xf numFmtId="43" fontId="18" fillId="33" borderId="10" xfId="1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43" fontId="21" fillId="34" borderId="10" xfId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/>
    </xf>
    <xf numFmtId="43" fontId="21" fillId="34" borderId="13" xfId="1" applyFont="1" applyFill="1" applyBorder="1" applyAlignment="1">
      <alignment horizontal="center" vertical="center" wrapText="1"/>
    </xf>
    <xf numFmtId="43" fontId="21" fillId="34" borderId="14" xfId="1" applyFont="1" applyFill="1" applyBorder="1" applyAlignment="1">
      <alignment horizontal="center" vertical="center" wrapText="1"/>
    </xf>
    <xf numFmtId="43" fontId="21" fillId="35" borderId="11" xfId="1" applyFont="1" applyFill="1" applyBorder="1" applyAlignment="1">
      <alignment horizontal="center" vertical="center" wrapText="1"/>
    </xf>
    <xf numFmtId="43" fontId="21" fillId="35" borderId="15" xfId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43" fontId="21" fillId="35" borderId="10" xfId="1" applyFont="1" applyFill="1" applyBorder="1" applyAlignment="1">
      <alignment horizontal="center" vertical="center" wrapText="1"/>
    </xf>
    <xf numFmtId="43" fontId="21" fillId="35" borderId="12" xfId="1" applyFont="1" applyFill="1" applyBorder="1" applyAlignment="1">
      <alignment horizontal="center" vertical="center" wrapText="1"/>
    </xf>
    <xf numFmtId="43" fontId="21" fillId="34" borderId="11" xfId="1" applyFont="1" applyFill="1" applyBorder="1" applyAlignment="1">
      <alignment horizontal="center" vertical="center" wrapText="1"/>
    </xf>
    <xf numFmtId="43" fontId="21" fillId="34" borderId="12" xfId="1" applyFont="1" applyFill="1" applyBorder="1" applyAlignment="1">
      <alignment horizontal="center" vertical="center" wrapText="1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colors>
    <mruColors>
      <color rgb="FFC9FFC9"/>
      <color rgb="FF9BC2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3"/>
  <sheetViews>
    <sheetView showGridLines="0" tabSelected="1" view="pageBreakPreview" zoomScaleNormal="110" zoomScaleSheetLayoutView="100" workbookViewId="0">
      <pane xSplit="1" ySplit="3" topLeftCell="C22" activePane="bottomRight" state="frozen"/>
      <selection pane="topRight" activeCell="B1" sqref="B1"/>
      <selection pane="bottomLeft" activeCell="A4" sqref="A4"/>
      <selection pane="bottomRight" activeCell="A52" sqref="A52"/>
    </sheetView>
  </sheetViews>
  <sheetFormatPr defaultColWidth="11.33203125" defaultRowHeight="10.199999999999999" x14ac:dyDescent="0.3"/>
  <cols>
    <col min="1" max="1" width="27.6640625" style="1" customWidth="1"/>
    <col min="2" max="2" width="33.88671875" style="28" hidden="1" customWidth="1"/>
    <col min="3" max="3" width="9.88671875" style="2" bestFit="1" customWidth="1"/>
    <col min="4" max="4" width="10.6640625" style="2" customWidth="1"/>
    <col min="5" max="5" width="11.109375" style="2" customWidth="1"/>
    <col min="6" max="6" width="8.88671875" style="2" bestFit="1" customWidth="1"/>
    <col min="7" max="7" width="11.5546875" style="2" customWidth="1"/>
    <col min="8" max="8" width="10.5546875" style="2" bestFit="1" customWidth="1"/>
    <col min="9" max="9" width="9.6640625" style="2" bestFit="1" customWidth="1"/>
    <col min="10" max="10" width="9" style="8" bestFit="1" customWidth="1"/>
    <col min="11" max="11" width="11.6640625" style="8" bestFit="1" customWidth="1"/>
    <col min="12" max="12" width="11.6640625" style="2" customWidth="1"/>
    <col min="13" max="13" width="9.109375" style="3" bestFit="1" customWidth="1"/>
    <col min="14" max="14" width="8" style="2" bestFit="1" customWidth="1"/>
    <col min="15" max="15" width="8" style="3" bestFit="1" customWidth="1"/>
    <col min="16" max="16" width="8" style="2" bestFit="1" customWidth="1"/>
    <col min="17" max="17" width="8.109375" style="2" bestFit="1" customWidth="1"/>
    <col min="18" max="18" width="8.109375" style="3" bestFit="1" customWidth="1"/>
    <col min="19" max="19" width="6.88671875" style="3" customWidth="1"/>
    <col min="20" max="20" width="11.33203125" style="13" hidden="1" customWidth="1"/>
    <col min="21" max="21" width="7.21875" style="2" bestFit="1" customWidth="1"/>
    <col min="22" max="23" width="8" style="13" customWidth="1"/>
    <col min="24" max="24" width="9.6640625" style="1" bestFit="1" customWidth="1"/>
    <col min="25" max="25" width="7.5546875" style="1" customWidth="1"/>
    <col min="26" max="26" width="12.88671875" style="1" bestFit="1" customWidth="1"/>
    <col min="27" max="27" width="9" style="1" bestFit="1" customWidth="1"/>
    <col min="28" max="28" width="8.109375" style="1" bestFit="1" customWidth="1"/>
    <col min="29" max="29" width="9" style="4" bestFit="1" customWidth="1"/>
    <col min="30" max="16384" width="11.33203125" style="1"/>
  </cols>
  <sheetData>
    <row r="1" spans="1:29" s="9" customFormat="1" ht="19.5" customHeight="1" x14ac:dyDescent="0.3">
      <c r="A1" s="31" t="s">
        <v>0</v>
      </c>
      <c r="B1" s="30" t="s">
        <v>1</v>
      </c>
      <c r="C1" s="34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4" t="s">
        <v>3</v>
      </c>
      <c r="N1" s="35"/>
      <c r="O1" s="35"/>
      <c r="P1" s="35"/>
      <c r="Q1" s="35"/>
      <c r="R1" s="35"/>
      <c r="S1" s="35"/>
      <c r="T1" s="35"/>
      <c r="U1" s="35"/>
      <c r="V1" s="35"/>
      <c r="W1" s="35"/>
      <c r="X1" s="39"/>
      <c r="Y1" s="34" t="s">
        <v>4</v>
      </c>
      <c r="Z1" s="39"/>
      <c r="AA1" s="38" t="s">
        <v>6</v>
      </c>
      <c r="AB1" s="38"/>
      <c r="AC1" s="38"/>
    </row>
    <row r="2" spans="1:29" s="9" customFormat="1" ht="21" customHeight="1" x14ac:dyDescent="0.3">
      <c r="A2" s="31"/>
      <c r="B2" s="30"/>
      <c r="C2" s="32" t="s">
        <v>7</v>
      </c>
      <c r="D2" s="32" t="s">
        <v>30</v>
      </c>
      <c r="E2" s="32" t="s">
        <v>28</v>
      </c>
      <c r="F2" s="32" t="s">
        <v>8</v>
      </c>
      <c r="G2" s="32" t="s">
        <v>10</v>
      </c>
      <c r="H2" s="32" t="s">
        <v>9</v>
      </c>
      <c r="I2" s="32" t="s">
        <v>11</v>
      </c>
      <c r="J2" s="32" t="s">
        <v>12</v>
      </c>
      <c r="K2" s="32" t="s">
        <v>13</v>
      </c>
      <c r="L2" s="32" t="s">
        <v>27</v>
      </c>
      <c r="M2" s="29" t="s">
        <v>14</v>
      </c>
      <c r="N2" s="29" t="s">
        <v>15</v>
      </c>
      <c r="O2" s="29" t="s">
        <v>116</v>
      </c>
      <c r="P2" s="29" t="s">
        <v>117</v>
      </c>
      <c r="Q2" s="29" t="s">
        <v>16</v>
      </c>
      <c r="R2" s="29" t="s">
        <v>31</v>
      </c>
      <c r="S2" s="29" t="s">
        <v>17</v>
      </c>
      <c r="T2" s="29" t="s">
        <v>18</v>
      </c>
      <c r="U2" s="29" t="s">
        <v>118</v>
      </c>
      <c r="V2" s="40" t="s">
        <v>5</v>
      </c>
      <c r="W2" s="41"/>
      <c r="X2" s="29" t="s">
        <v>21</v>
      </c>
      <c r="Y2" s="32" t="s">
        <v>22</v>
      </c>
      <c r="Z2" s="32" t="s">
        <v>23</v>
      </c>
      <c r="AA2" s="36" t="s">
        <v>24</v>
      </c>
      <c r="AB2" s="32" t="s">
        <v>25</v>
      </c>
      <c r="AC2" s="29" t="s">
        <v>26</v>
      </c>
    </row>
    <row r="3" spans="1:29" s="9" customFormat="1" ht="36" x14ac:dyDescent="0.3">
      <c r="A3" s="31"/>
      <c r="B3" s="30"/>
      <c r="C3" s="33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  <c r="O3" s="29"/>
      <c r="P3" s="29"/>
      <c r="Q3" s="29"/>
      <c r="R3" s="29"/>
      <c r="S3" s="29"/>
      <c r="T3" s="29"/>
      <c r="U3" s="29"/>
      <c r="V3" s="16" t="s">
        <v>19</v>
      </c>
      <c r="W3" s="16" t="s">
        <v>20</v>
      </c>
      <c r="X3" s="29"/>
      <c r="Y3" s="33"/>
      <c r="Z3" s="33"/>
      <c r="AA3" s="37"/>
      <c r="AB3" s="33"/>
      <c r="AC3" s="29"/>
    </row>
    <row r="4" spans="1:29" s="10" customFormat="1" x14ac:dyDescent="0.3">
      <c r="A4" s="17" t="s">
        <v>32</v>
      </c>
      <c r="B4" s="25" t="s">
        <v>33</v>
      </c>
      <c r="C4" s="5">
        <v>1051.82</v>
      </c>
      <c r="D4" s="5"/>
      <c r="E4" s="5"/>
      <c r="F4" s="5"/>
      <c r="G4" s="5"/>
      <c r="H4" s="5"/>
      <c r="I4" s="5"/>
      <c r="J4" s="5"/>
      <c r="K4" s="5">
        <v>96.07</v>
      </c>
      <c r="L4" s="6">
        <f>SUM(C4:K4)</f>
        <v>1147.8899999999999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>
        <f>SUM(M4:W4)</f>
        <v>0</v>
      </c>
      <c r="Y4" s="5">
        <v>0</v>
      </c>
      <c r="Z4" s="6">
        <f>L4-X4</f>
        <v>1147.8899999999999</v>
      </c>
      <c r="AA4" s="5">
        <v>0</v>
      </c>
      <c r="AB4" s="19"/>
      <c r="AC4" s="5"/>
    </row>
    <row r="5" spans="1:29" x14ac:dyDescent="0.3">
      <c r="A5" s="17" t="s">
        <v>34</v>
      </c>
      <c r="B5" s="25" t="s">
        <v>35</v>
      </c>
      <c r="C5" s="5">
        <v>8414.7900000000009</v>
      </c>
      <c r="D5" s="5"/>
      <c r="E5" s="5"/>
      <c r="F5" s="5"/>
      <c r="G5" s="5"/>
      <c r="H5" s="5">
        <f>8414.79-4207.4</f>
        <v>4207.3900000000012</v>
      </c>
      <c r="I5" s="5"/>
      <c r="J5" s="5"/>
      <c r="K5" s="5"/>
      <c r="L5" s="6">
        <f t="shared" ref="L5:L48" si="0">SUM(C5:K5)</f>
        <v>12622.180000000002</v>
      </c>
      <c r="M5" s="5">
        <v>828.38</v>
      </c>
      <c r="N5" s="5">
        <v>1164.77</v>
      </c>
      <c r="O5" s="5">
        <v>828.38</v>
      </c>
      <c r="P5" s="5">
        <v>1164.77</v>
      </c>
      <c r="Q5" s="5"/>
      <c r="R5" s="5">
        <f>234.04+114.37</f>
        <v>348.40999999999997</v>
      </c>
      <c r="S5" s="5"/>
      <c r="T5" s="5"/>
      <c r="U5" s="5"/>
      <c r="V5" s="5"/>
      <c r="W5" s="5">
        <v>51.06</v>
      </c>
      <c r="X5" s="6">
        <f t="shared" ref="X5:X48" si="1">SUM(M5:W5)</f>
        <v>4385.7700000000004</v>
      </c>
      <c r="Y5" s="5">
        <v>0</v>
      </c>
      <c r="Z5" s="6">
        <f t="shared" ref="Z5:Z48" si="2">L5-X5</f>
        <v>8236.4100000000017</v>
      </c>
      <c r="AA5" s="5">
        <v>1009.7744</v>
      </c>
      <c r="AB5" s="19"/>
      <c r="AC5" s="5">
        <v>1021.12</v>
      </c>
    </row>
    <row r="6" spans="1:29" x14ac:dyDescent="0.3">
      <c r="A6" s="17" t="s">
        <v>36</v>
      </c>
      <c r="B6" s="25" t="s">
        <v>37</v>
      </c>
      <c r="C6" s="5">
        <v>1051.82</v>
      </c>
      <c r="D6" s="5"/>
      <c r="E6" s="5"/>
      <c r="F6" s="5"/>
      <c r="G6" s="5"/>
      <c r="H6" s="5"/>
      <c r="I6" s="5"/>
      <c r="J6" s="5"/>
      <c r="K6" s="5">
        <v>96.07</v>
      </c>
      <c r="L6" s="6">
        <f t="shared" si="0"/>
        <v>1147.8899999999999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>
        <f t="shared" si="1"/>
        <v>0</v>
      </c>
      <c r="Y6" s="5">
        <v>0</v>
      </c>
      <c r="Z6" s="6">
        <f t="shared" si="2"/>
        <v>1147.8899999999999</v>
      </c>
      <c r="AA6" s="5">
        <v>0</v>
      </c>
      <c r="AB6" s="19"/>
      <c r="AC6" s="5"/>
    </row>
    <row r="7" spans="1:29" x14ac:dyDescent="0.3">
      <c r="A7" s="17" t="s">
        <v>38</v>
      </c>
      <c r="B7" s="25" t="s">
        <v>39</v>
      </c>
      <c r="C7" s="5">
        <v>1051.82</v>
      </c>
      <c r="D7" s="5"/>
      <c r="E7" s="5"/>
      <c r="F7" s="5"/>
      <c r="G7" s="5"/>
      <c r="H7" s="5"/>
      <c r="I7" s="5"/>
      <c r="J7" s="5"/>
      <c r="K7" s="5">
        <v>96.07</v>
      </c>
      <c r="L7" s="6">
        <f t="shared" si="0"/>
        <v>1147.8899999999999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6">
        <f t="shared" si="1"/>
        <v>0</v>
      </c>
      <c r="Y7" s="5">
        <v>0</v>
      </c>
      <c r="Z7" s="6">
        <f t="shared" si="2"/>
        <v>1147.8899999999999</v>
      </c>
      <c r="AA7" s="5">
        <v>0</v>
      </c>
      <c r="AB7" s="19"/>
      <c r="AC7" s="5"/>
    </row>
    <row r="8" spans="1:29" x14ac:dyDescent="0.3">
      <c r="A8" s="17" t="s">
        <v>40</v>
      </c>
      <c r="B8" s="25" t="s">
        <v>41</v>
      </c>
      <c r="C8" s="5">
        <v>1392.15</v>
      </c>
      <c r="D8" s="5"/>
      <c r="E8" s="5"/>
      <c r="F8" s="5"/>
      <c r="G8" s="5">
        <f>19/20*3374.92</f>
        <v>3206.174</v>
      </c>
      <c r="H8" s="5">
        <f>3796.78-1898.39</f>
        <v>1898.39</v>
      </c>
      <c r="I8" s="5"/>
      <c r="J8" s="5"/>
      <c r="K8" s="5"/>
      <c r="L8" s="6">
        <f t="shared" si="0"/>
        <v>6496.7140000000009</v>
      </c>
      <c r="M8" s="5">
        <f>293.73+186.21</f>
        <v>479.94000000000005</v>
      </c>
      <c r="N8" s="5"/>
      <c r="O8" s="5">
        <v>367.72</v>
      </c>
      <c r="P8" s="5">
        <v>159.56</v>
      </c>
      <c r="Q8" s="5"/>
      <c r="R8" s="5">
        <v>25.96</v>
      </c>
      <c r="S8" s="5"/>
      <c r="T8" s="5"/>
      <c r="U8" s="5">
        <f>3206.17-306.38</f>
        <v>2899.79</v>
      </c>
      <c r="V8" s="5">
        <v>37.97</v>
      </c>
      <c r="W8" s="5">
        <v>51.06</v>
      </c>
      <c r="X8" s="6">
        <f t="shared" si="1"/>
        <v>4022</v>
      </c>
      <c r="Y8" s="5">
        <v>0</v>
      </c>
      <c r="Z8" s="6">
        <f t="shared" si="2"/>
        <v>2474.7140000000009</v>
      </c>
      <c r="AA8" s="5">
        <v>519.73680000000002</v>
      </c>
      <c r="AB8" s="19">
        <v>43.8</v>
      </c>
      <c r="AC8" s="5">
        <v>1021.12</v>
      </c>
    </row>
    <row r="9" spans="1:29" x14ac:dyDescent="0.3">
      <c r="A9" s="17" t="s">
        <v>42</v>
      </c>
      <c r="B9" s="25" t="s">
        <v>43</v>
      </c>
      <c r="C9" s="5">
        <v>5524.78</v>
      </c>
      <c r="D9" s="5"/>
      <c r="E9" s="5"/>
      <c r="F9" s="5"/>
      <c r="G9" s="5"/>
      <c r="H9" s="5">
        <f>5524.78-2762.39+30.66+7.15</f>
        <v>2800.2</v>
      </c>
      <c r="I9" s="5"/>
      <c r="J9" s="5"/>
      <c r="K9" s="5">
        <v>79.900000000000006</v>
      </c>
      <c r="L9" s="6">
        <f t="shared" si="0"/>
        <v>8404.8799999999992</v>
      </c>
      <c r="M9" s="5">
        <v>609.64</v>
      </c>
      <c r="N9" s="5">
        <v>430.17</v>
      </c>
      <c r="O9" s="5">
        <v>614.92999999999995</v>
      </c>
      <c r="P9" s="5">
        <v>439.11</v>
      </c>
      <c r="Q9" s="5"/>
      <c r="R9" s="5">
        <f>114.37+457.42+121.34</f>
        <v>693.13</v>
      </c>
      <c r="S9" s="5"/>
      <c r="T9" s="5"/>
      <c r="U9" s="5"/>
      <c r="V9" s="5">
        <v>55.25</v>
      </c>
      <c r="W9" s="5">
        <v>51.06</v>
      </c>
      <c r="X9" s="6">
        <f t="shared" si="1"/>
        <v>2893.29</v>
      </c>
      <c r="Y9" s="5">
        <v>0</v>
      </c>
      <c r="Z9" s="6">
        <f t="shared" si="2"/>
        <v>5511.5899999999992</v>
      </c>
      <c r="AA9" s="5">
        <v>665.42639999999994</v>
      </c>
      <c r="AB9" s="19">
        <v>96.36</v>
      </c>
      <c r="AC9" s="5">
        <v>1021.12</v>
      </c>
    </row>
    <row r="10" spans="1:29" x14ac:dyDescent="0.3">
      <c r="A10" s="17" t="s">
        <v>44</v>
      </c>
      <c r="B10" s="25" t="s">
        <v>45</v>
      </c>
      <c r="C10" s="5"/>
      <c r="D10" s="5"/>
      <c r="E10" s="5"/>
      <c r="F10" s="5"/>
      <c r="G10" s="5"/>
      <c r="H10" s="5"/>
      <c r="I10" s="5"/>
      <c r="J10" s="5"/>
      <c r="K10" s="5">
        <v>237.23</v>
      </c>
      <c r="L10" s="6">
        <f t="shared" si="0"/>
        <v>237.23</v>
      </c>
      <c r="M10" s="5"/>
      <c r="N10" s="5"/>
      <c r="O10" s="5"/>
      <c r="P10" s="5"/>
      <c r="Q10" s="5"/>
      <c r="R10" s="5">
        <v>186.17</v>
      </c>
      <c r="S10" s="5"/>
      <c r="T10" s="5"/>
      <c r="U10" s="5"/>
      <c r="V10" s="5"/>
      <c r="W10" s="5">
        <v>51.06</v>
      </c>
      <c r="X10" s="6">
        <f t="shared" si="1"/>
        <v>237.23</v>
      </c>
      <c r="Y10" s="5">
        <v>0</v>
      </c>
      <c r="Z10" s="6">
        <f t="shared" si="2"/>
        <v>0</v>
      </c>
      <c r="AA10" s="5">
        <v>0</v>
      </c>
      <c r="AB10" s="19"/>
      <c r="AC10" s="5">
        <v>1021.12</v>
      </c>
    </row>
    <row r="11" spans="1:29" ht="11.25" customHeight="1" x14ac:dyDescent="0.3">
      <c r="A11" s="17" t="s">
        <v>46</v>
      </c>
      <c r="B11" s="25" t="s">
        <v>47</v>
      </c>
      <c r="C11" s="5">
        <v>10375.48</v>
      </c>
      <c r="D11" s="5"/>
      <c r="E11" s="5"/>
      <c r="F11" s="5"/>
      <c r="G11" s="5"/>
      <c r="H11" s="5">
        <f>10375.48+21.78+4.19-5187.74</f>
        <v>5213.7100000000009</v>
      </c>
      <c r="I11" s="5"/>
      <c r="J11" s="5"/>
      <c r="K11" s="5">
        <v>437.87</v>
      </c>
      <c r="L11" s="6">
        <f t="shared" si="0"/>
        <v>16027.060000000001</v>
      </c>
      <c r="M11" s="5">
        <v>828.38</v>
      </c>
      <c r="N11" s="5">
        <v>1703.96</v>
      </c>
      <c r="O11" s="5">
        <v>828.38</v>
      </c>
      <c r="P11" s="5">
        <v>1711.1</v>
      </c>
      <c r="Q11" s="5"/>
      <c r="R11" s="5">
        <f>255+198.87</f>
        <v>453.87</v>
      </c>
      <c r="S11" s="5"/>
      <c r="T11" s="5"/>
      <c r="U11" s="5"/>
      <c r="V11" s="5">
        <v>95.85</v>
      </c>
      <c r="W11" s="5">
        <v>51.06</v>
      </c>
      <c r="X11" s="6">
        <f t="shared" si="1"/>
        <v>5672.6</v>
      </c>
      <c r="Y11" s="5">
        <v>0</v>
      </c>
      <c r="Z11" s="6">
        <f t="shared" si="2"/>
        <v>10354.460000000001</v>
      </c>
      <c r="AA11" s="5">
        <v>1247.1351999999999</v>
      </c>
      <c r="AB11" s="19">
        <v>96.36</v>
      </c>
      <c r="AC11" s="5">
        <v>1021.12</v>
      </c>
    </row>
    <row r="12" spans="1:29" ht="11.25" customHeight="1" x14ac:dyDescent="0.3">
      <c r="A12" s="23" t="s">
        <v>48</v>
      </c>
      <c r="B12" s="25" t="s">
        <v>49</v>
      </c>
      <c r="C12" s="5">
        <v>4815.24</v>
      </c>
      <c r="D12" s="5"/>
      <c r="E12" s="5"/>
      <c r="F12" s="5"/>
      <c r="G12" s="5"/>
      <c r="H12" s="5">
        <f>4815.24+1.88+0.45-2407.62</f>
        <v>2409.9499999999998</v>
      </c>
      <c r="I12" s="5"/>
      <c r="J12" s="5"/>
      <c r="K12" s="5"/>
      <c r="L12" s="6">
        <f t="shared" si="0"/>
        <v>7225.19</v>
      </c>
      <c r="M12" s="5">
        <v>510.3</v>
      </c>
      <c r="N12" s="5">
        <v>332.48</v>
      </c>
      <c r="O12" s="5">
        <v>510.63</v>
      </c>
      <c r="P12" s="5">
        <v>332.93</v>
      </c>
      <c r="Q12" s="5"/>
      <c r="R12" s="5">
        <v>38.880000000000003</v>
      </c>
      <c r="S12" s="5"/>
      <c r="T12" s="5"/>
      <c r="U12" s="5"/>
      <c r="V12" s="5">
        <v>48.15</v>
      </c>
      <c r="W12" s="5">
        <v>51.06</v>
      </c>
      <c r="X12" s="6">
        <f t="shared" si="1"/>
        <v>1824.43</v>
      </c>
      <c r="Y12" s="5">
        <v>0</v>
      </c>
      <c r="Z12" s="6">
        <f t="shared" si="2"/>
        <v>5400.7599999999993</v>
      </c>
      <c r="AA12" s="5">
        <v>577.97919999999999</v>
      </c>
      <c r="AB12" s="19">
        <v>96.36</v>
      </c>
      <c r="AC12" s="5">
        <v>1021.12</v>
      </c>
    </row>
    <row r="13" spans="1:29" s="4" customFormat="1" x14ac:dyDescent="0.3">
      <c r="A13" s="18" t="s">
        <v>50</v>
      </c>
      <c r="B13" s="26" t="s">
        <v>51</v>
      </c>
      <c r="C13" s="22">
        <v>12137.36</v>
      </c>
      <c r="D13" s="5"/>
      <c r="E13" s="5"/>
      <c r="F13" s="5">
        <f>499.15+80.24+42.48</f>
        <v>621.87</v>
      </c>
      <c r="G13" s="5"/>
      <c r="H13" s="5">
        <f>12137.36-6068.68</f>
        <v>6068.68</v>
      </c>
      <c r="I13" s="5"/>
      <c r="J13" s="5"/>
      <c r="K13" s="5"/>
      <c r="L13" s="6">
        <f t="shared" si="0"/>
        <v>18827.910000000003</v>
      </c>
      <c r="M13" s="5">
        <v>828.38</v>
      </c>
      <c r="N13" s="5">
        <v>2411.62</v>
      </c>
      <c r="O13" s="5">
        <v>828.38</v>
      </c>
      <c r="P13" s="5">
        <v>2240.61</v>
      </c>
      <c r="Q13" s="5"/>
      <c r="R13" s="5">
        <v>306.83</v>
      </c>
      <c r="S13" s="5"/>
      <c r="T13" s="5"/>
      <c r="U13" s="5"/>
      <c r="V13" s="5"/>
      <c r="W13" s="5">
        <v>51.06</v>
      </c>
      <c r="X13" s="6">
        <f t="shared" si="1"/>
        <v>6666.88</v>
      </c>
      <c r="Y13" s="5">
        <v>0</v>
      </c>
      <c r="Z13" s="6">
        <f t="shared" si="2"/>
        <v>12161.030000000002</v>
      </c>
      <c r="AA13" s="5">
        <v>1506.2328</v>
      </c>
      <c r="AB13" s="19"/>
      <c r="AC13" s="5">
        <v>1021.12</v>
      </c>
    </row>
    <row r="14" spans="1:29" s="10" customFormat="1" x14ac:dyDescent="0.3">
      <c r="A14" s="18" t="s">
        <v>52</v>
      </c>
      <c r="B14" s="25" t="s">
        <v>53</v>
      </c>
      <c r="C14" s="5">
        <v>3950.17</v>
      </c>
      <c r="D14" s="5">
        <v>1185.05</v>
      </c>
      <c r="E14" s="5"/>
      <c r="F14" s="5">
        <f>67.4+618.79+101.66</f>
        <v>787.84999999999991</v>
      </c>
      <c r="G14" s="5"/>
      <c r="H14" s="5">
        <f>3950.17+1185.05+14.85+380.81+78.61-2567.62</f>
        <v>3041.8700000000008</v>
      </c>
      <c r="I14" s="5"/>
      <c r="J14" s="5"/>
      <c r="K14" s="5"/>
      <c r="L14" s="6">
        <f t="shared" si="0"/>
        <v>8964.94</v>
      </c>
      <c r="M14" s="5">
        <v>665.4</v>
      </c>
      <c r="N14" s="5">
        <v>576.5</v>
      </c>
      <c r="O14" s="5">
        <v>621.5</v>
      </c>
      <c r="P14" s="5">
        <v>502.34</v>
      </c>
      <c r="Q14" s="5"/>
      <c r="R14" s="5">
        <f>132.66+194.42</f>
        <v>327.08</v>
      </c>
      <c r="S14" s="5"/>
      <c r="T14" s="5"/>
      <c r="U14" s="5"/>
      <c r="V14" s="5">
        <v>39.5</v>
      </c>
      <c r="W14" s="5">
        <v>51.06</v>
      </c>
      <c r="X14" s="6">
        <f t="shared" si="1"/>
        <v>2783.38</v>
      </c>
      <c r="Y14" s="5">
        <v>0</v>
      </c>
      <c r="Z14" s="6">
        <f t="shared" si="2"/>
        <v>6181.56</v>
      </c>
      <c r="AA14" s="5">
        <v>710.90639999999996</v>
      </c>
      <c r="AB14" s="19">
        <v>140.16</v>
      </c>
      <c r="AC14" s="5">
        <v>1021.12</v>
      </c>
    </row>
    <row r="15" spans="1:29" s="10" customFormat="1" x14ac:dyDescent="0.3">
      <c r="A15" s="17" t="s">
        <v>54</v>
      </c>
      <c r="B15" s="25" t="s">
        <v>55</v>
      </c>
      <c r="C15" s="5">
        <v>14494.51</v>
      </c>
      <c r="D15" s="5"/>
      <c r="E15" s="5"/>
      <c r="F15" s="5"/>
      <c r="G15" s="5"/>
      <c r="H15" s="5">
        <f>14494.51-7247.25</f>
        <v>7247.26</v>
      </c>
      <c r="I15" s="5"/>
      <c r="J15" s="5"/>
      <c r="K15" s="5"/>
      <c r="L15" s="6">
        <f t="shared" si="0"/>
        <v>21741.77</v>
      </c>
      <c r="M15" s="5">
        <v>828.38</v>
      </c>
      <c r="N15" s="5">
        <v>2888.83</v>
      </c>
      <c r="O15" s="5">
        <v>828.38</v>
      </c>
      <c r="P15" s="5">
        <v>2888.83</v>
      </c>
      <c r="Q15" s="5"/>
      <c r="R15" s="5">
        <v>91.48</v>
      </c>
      <c r="S15" s="5"/>
      <c r="T15" s="5"/>
      <c r="U15" s="5"/>
      <c r="V15" s="5"/>
      <c r="W15" s="5">
        <v>51.06</v>
      </c>
      <c r="X15" s="6">
        <f t="shared" si="1"/>
        <v>7576.96</v>
      </c>
      <c r="Y15" s="5">
        <v>0</v>
      </c>
      <c r="Z15" s="6">
        <f t="shared" si="2"/>
        <v>14164.810000000001</v>
      </c>
      <c r="AA15" s="5">
        <v>1739.3416</v>
      </c>
      <c r="AB15" s="19"/>
      <c r="AC15" s="5">
        <v>1021.12</v>
      </c>
    </row>
    <row r="16" spans="1:29" s="10" customFormat="1" ht="11.25" customHeight="1" x14ac:dyDescent="0.3">
      <c r="A16" s="24" t="s">
        <v>56</v>
      </c>
      <c r="B16" s="25" t="s">
        <v>57</v>
      </c>
      <c r="C16" s="5">
        <v>13137.87</v>
      </c>
      <c r="D16" s="5"/>
      <c r="E16" s="5"/>
      <c r="F16" s="5"/>
      <c r="G16" s="5"/>
      <c r="H16" s="5">
        <f>13137.87-6568.94</f>
        <v>6568.9300000000012</v>
      </c>
      <c r="I16" s="5"/>
      <c r="J16" s="5"/>
      <c r="K16" s="5">
        <v>437.87</v>
      </c>
      <c r="L16" s="6">
        <f t="shared" si="0"/>
        <v>20144.670000000002</v>
      </c>
      <c r="M16" s="5">
        <v>828.38</v>
      </c>
      <c r="N16" s="5">
        <v>2463.61</v>
      </c>
      <c r="O16" s="5">
        <v>828.38</v>
      </c>
      <c r="P16" s="5">
        <v>2463.61</v>
      </c>
      <c r="Q16" s="5"/>
      <c r="R16" s="5">
        <f>91.48+114.37+568.21</f>
        <v>774.06000000000006</v>
      </c>
      <c r="S16" s="5"/>
      <c r="T16" s="5"/>
      <c r="U16" s="5"/>
      <c r="V16" s="5"/>
      <c r="W16" s="5">
        <v>51.06</v>
      </c>
      <c r="X16" s="6">
        <f t="shared" si="1"/>
        <v>7409.1</v>
      </c>
      <c r="Y16" s="5">
        <v>0</v>
      </c>
      <c r="Z16" s="6">
        <f t="shared" si="2"/>
        <v>12735.570000000002</v>
      </c>
      <c r="AA16" s="5">
        <v>1576.5440000000001</v>
      </c>
      <c r="AB16" s="19"/>
      <c r="AC16" s="5">
        <v>1021.12</v>
      </c>
    </row>
    <row r="17" spans="1:29" s="10" customFormat="1" ht="11.25" customHeight="1" x14ac:dyDescent="0.3">
      <c r="A17" s="18" t="s">
        <v>58</v>
      </c>
      <c r="B17" s="25" t="s">
        <v>59</v>
      </c>
      <c r="C17" s="5">
        <v>7621.54</v>
      </c>
      <c r="D17" s="5">
        <v>2286.46</v>
      </c>
      <c r="E17" s="5"/>
      <c r="F17" s="5"/>
      <c r="G17" s="5"/>
      <c r="H17" s="5">
        <f>7621.54+2286.46-4954</f>
        <v>4954</v>
      </c>
      <c r="I17" s="5"/>
      <c r="J17" s="5"/>
      <c r="K17" s="5">
        <v>79.900000000000006</v>
      </c>
      <c r="L17" s="6">
        <f t="shared" si="0"/>
        <v>14941.9</v>
      </c>
      <c r="M17" s="5">
        <v>828.38</v>
      </c>
      <c r="N17" s="5">
        <v>1627.54</v>
      </c>
      <c r="O17" s="5">
        <v>828.38</v>
      </c>
      <c r="P17" s="5">
        <v>1627.54</v>
      </c>
      <c r="Q17" s="5"/>
      <c r="R17" s="5">
        <v>206.83</v>
      </c>
      <c r="S17" s="5"/>
      <c r="T17" s="5"/>
      <c r="U17" s="5"/>
      <c r="V17" s="5"/>
      <c r="W17" s="5">
        <v>51.06</v>
      </c>
      <c r="X17" s="6">
        <f t="shared" si="1"/>
        <v>5169.7300000000005</v>
      </c>
      <c r="Y17" s="5">
        <v>0</v>
      </c>
      <c r="Z17" s="6">
        <f t="shared" si="2"/>
        <v>9772.1699999999983</v>
      </c>
      <c r="AA17" s="5">
        <v>1188.96</v>
      </c>
      <c r="AB17" s="19"/>
      <c r="AC17" s="5">
        <v>1021.12</v>
      </c>
    </row>
    <row r="18" spans="1:29" s="10" customFormat="1" ht="11.25" customHeight="1" x14ac:dyDescent="0.3">
      <c r="A18" s="17" t="s">
        <v>60</v>
      </c>
      <c r="B18" s="25" t="s">
        <v>61</v>
      </c>
      <c r="C18" s="5">
        <v>14494.51</v>
      </c>
      <c r="D18" s="5"/>
      <c r="E18" s="5"/>
      <c r="F18" s="5"/>
      <c r="G18" s="5"/>
      <c r="H18" s="5">
        <f>14494.51-7247.25</f>
        <v>7247.26</v>
      </c>
      <c r="I18" s="5"/>
      <c r="J18" s="5"/>
      <c r="K18" s="5">
        <v>875.74</v>
      </c>
      <c r="L18" s="6">
        <f t="shared" si="0"/>
        <v>22617.510000000002</v>
      </c>
      <c r="M18" s="5">
        <v>828.38</v>
      </c>
      <c r="N18" s="5">
        <v>2784.55</v>
      </c>
      <c r="O18" s="5">
        <v>828.38</v>
      </c>
      <c r="P18" s="5">
        <v>2784.55</v>
      </c>
      <c r="Q18" s="5"/>
      <c r="R18" s="5">
        <f>103.84+219.56+114.37</f>
        <v>437.77</v>
      </c>
      <c r="S18" s="5"/>
      <c r="T18" s="5"/>
      <c r="U18" s="5"/>
      <c r="V18" s="5"/>
      <c r="W18" s="5">
        <v>51.06</v>
      </c>
      <c r="X18" s="6">
        <f t="shared" si="1"/>
        <v>7714.6900000000014</v>
      </c>
      <c r="Y18" s="5">
        <v>0</v>
      </c>
      <c r="Z18" s="6">
        <f t="shared" si="2"/>
        <v>14902.82</v>
      </c>
      <c r="AA18" s="5">
        <v>1739.3416</v>
      </c>
      <c r="AB18" s="19"/>
      <c r="AC18" s="5">
        <v>1021.12</v>
      </c>
    </row>
    <row r="19" spans="1:29" s="10" customFormat="1" ht="11.25" customHeight="1" x14ac:dyDescent="0.3">
      <c r="A19" s="17" t="s">
        <v>62</v>
      </c>
      <c r="B19" s="25" t="s">
        <v>63</v>
      </c>
      <c r="C19" s="5">
        <v>10794.65</v>
      </c>
      <c r="D19" s="5"/>
      <c r="E19" s="5"/>
      <c r="F19" s="5"/>
      <c r="G19" s="5"/>
      <c r="H19" s="5">
        <f>10794.65+179.39+10.61+78.11+18.17-5397.33</f>
        <v>5683.6</v>
      </c>
      <c r="I19" s="5"/>
      <c r="J19" s="5"/>
      <c r="K19" s="4"/>
      <c r="L19" s="6">
        <f t="shared" si="0"/>
        <v>16478.25</v>
      </c>
      <c r="M19" s="5">
        <v>828.38</v>
      </c>
      <c r="N19" s="5">
        <v>1871.36</v>
      </c>
      <c r="O19" s="5">
        <v>828.38</v>
      </c>
      <c r="P19" s="5">
        <v>1950.09</v>
      </c>
      <c r="Q19" s="5"/>
      <c r="R19" s="5">
        <v>465.52</v>
      </c>
      <c r="S19" s="5"/>
      <c r="T19" s="5"/>
      <c r="U19" s="5"/>
      <c r="V19" s="5"/>
      <c r="W19" s="5">
        <v>51.06</v>
      </c>
      <c r="X19" s="6">
        <f t="shared" si="1"/>
        <v>5994.79</v>
      </c>
      <c r="Y19" s="5">
        <v>0</v>
      </c>
      <c r="Z19" s="6">
        <f t="shared" si="2"/>
        <v>10483.459999999999</v>
      </c>
      <c r="AA19" s="5">
        <v>1316.8063999999999</v>
      </c>
      <c r="AB19" s="19"/>
      <c r="AC19" s="5">
        <v>1021.12</v>
      </c>
    </row>
    <row r="20" spans="1:29" ht="11.25" customHeight="1" x14ac:dyDescent="0.3">
      <c r="A20" s="17" t="s">
        <v>64</v>
      </c>
      <c r="B20" s="25" t="s">
        <v>65</v>
      </c>
      <c r="C20" s="5">
        <v>4191.95</v>
      </c>
      <c r="D20" s="5"/>
      <c r="E20" s="5"/>
      <c r="F20" s="5"/>
      <c r="G20" s="5"/>
      <c r="H20" s="5">
        <f>4191.95-2095.98</f>
        <v>2095.9699999999998</v>
      </c>
      <c r="I20" s="5"/>
      <c r="J20" s="20"/>
      <c r="K20" s="5"/>
      <c r="L20" s="6">
        <f t="shared" si="0"/>
        <v>6287.92</v>
      </c>
      <c r="M20" s="5">
        <v>423.04</v>
      </c>
      <c r="N20" s="5">
        <v>211.87</v>
      </c>
      <c r="O20" s="5">
        <v>423.04</v>
      </c>
      <c r="P20" s="5">
        <v>211.87</v>
      </c>
      <c r="Q20" s="5"/>
      <c r="R20" s="5">
        <v>16.579999999999998</v>
      </c>
      <c r="S20" s="5"/>
      <c r="T20" s="5"/>
      <c r="U20" s="5"/>
      <c r="V20" s="5"/>
      <c r="W20" s="5">
        <v>51.06</v>
      </c>
      <c r="X20" s="6">
        <f t="shared" si="1"/>
        <v>1337.46</v>
      </c>
      <c r="Y20" s="5">
        <v>0</v>
      </c>
      <c r="Z20" s="6">
        <f t="shared" si="2"/>
        <v>4950.46</v>
      </c>
      <c r="AA20" s="5">
        <v>503.03359999999998</v>
      </c>
      <c r="AB20" s="19"/>
      <c r="AC20" s="5">
        <v>1021.12</v>
      </c>
    </row>
    <row r="21" spans="1:29" s="7" customFormat="1" x14ac:dyDescent="0.3">
      <c r="A21" s="18" t="s">
        <v>66</v>
      </c>
      <c r="B21" s="25" t="s">
        <v>67</v>
      </c>
      <c r="C21" s="14">
        <v>14494.51</v>
      </c>
      <c r="D21" s="5"/>
      <c r="E21" s="14"/>
      <c r="F21" s="14"/>
      <c r="G21" s="14"/>
      <c r="H21" s="14">
        <f>13286.63-6643.32</f>
        <v>6643.3099999999995</v>
      </c>
      <c r="I21" s="14"/>
      <c r="J21" s="5"/>
      <c r="K21" s="5"/>
      <c r="L21" s="6">
        <f t="shared" si="0"/>
        <v>21137.82</v>
      </c>
      <c r="M21" s="14">
        <v>828.38</v>
      </c>
      <c r="N21" s="14">
        <v>2784.55</v>
      </c>
      <c r="O21" s="14">
        <v>828.38</v>
      </c>
      <c r="P21" s="14">
        <v>2452.38</v>
      </c>
      <c r="Q21" s="14"/>
      <c r="R21" s="21">
        <f>587.8+114.37+226.5</f>
        <v>928.67</v>
      </c>
      <c r="S21" s="21"/>
      <c r="T21" s="14"/>
      <c r="U21" s="14"/>
      <c r="V21" s="5"/>
      <c r="W21" s="5">
        <v>51.06</v>
      </c>
      <c r="X21" s="6">
        <f t="shared" si="1"/>
        <v>7873.420000000001</v>
      </c>
      <c r="Y21" s="5">
        <v>0</v>
      </c>
      <c r="Z21" s="6">
        <f t="shared" si="2"/>
        <v>13264.399999999998</v>
      </c>
      <c r="AA21" s="14">
        <v>1691.0255999999999</v>
      </c>
      <c r="AB21" s="19"/>
      <c r="AC21" s="5">
        <v>1021.12</v>
      </c>
    </row>
    <row r="22" spans="1:29" s="7" customFormat="1" x14ac:dyDescent="0.3">
      <c r="A22" s="18" t="s">
        <v>68</v>
      </c>
      <c r="B22" s="25" t="s">
        <v>69</v>
      </c>
      <c r="C22" s="5">
        <v>18912.02</v>
      </c>
      <c r="D22" s="5"/>
      <c r="E22" s="14"/>
      <c r="F22" s="14"/>
      <c r="G22" s="14"/>
      <c r="H22" s="14">
        <f>17336.02-8668.01</f>
        <v>8668.01</v>
      </c>
      <c r="I22" s="14"/>
      <c r="J22" s="5"/>
      <c r="K22" s="5"/>
      <c r="L22" s="6">
        <f t="shared" si="0"/>
        <v>27580.03</v>
      </c>
      <c r="M22" s="14">
        <v>828.38</v>
      </c>
      <c r="N22" s="14">
        <v>4103.6400000000003</v>
      </c>
      <c r="O22" s="14">
        <v>828.38</v>
      </c>
      <c r="P22" s="14">
        <v>3670.24</v>
      </c>
      <c r="Q22" s="14"/>
      <c r="R22" s="14">
        <v>484.02</v>
      </c>
      <c r="S22" s="14"/>
      <c r="T22" s="14"/>
      <c r="U22" s="14"/>
      <c r="V22" s="5"/>
      <c r="W22" s="5">
        <v>51.06</v>
      </c>
      <c r="X22" s="6">
        <f t="shared" si="1"/>
        <v>9965.7199999999993</v>
      </c>
      <c r="Y22" s="5">
        <v>0</v>
      </c>
      <c r="Z22" s="6">
        <f t="shared" si="2"/>
        <v>17614.309999999998</v>
      </c>
      <c r="AA22" s="14">
        <v>2206.4023999999999</v>
      </c>
      <c r="AB22" s="19"/>
      <c r="AC22" s="5">
        <v>1021.12</v>
      </c>
    </row>
    <row r="23" spans="1:29" x14ac:dyDescent="0.3">
      <c r="A23" s="18" t="s">
        <v>70</v>
      </c>
      <c r="B23" s="25" t="s">
        <v>71</v>
      </c>
      <c r="C23" s="5">
        <v>1051.82</v>
      </c>
      <c r="D23" s="5"/>
      <c r="E23" s="5"/>
      <c r="F23" s="5"/>
      <c r="G23" s="5"/>
      <c r="H23" s="5"/>
      <c r="I23" s="5"/>
      <c r="J23" s="5"/>
      <c r="K23" s="5">
        <v>96.07</v>
      </c>
      <c r="L23" s="6">
        <f t="shared" si="0"/>
        <v>1147.8899999999999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>
        <f t="shared" si="1"/>
        <v>0</v>
      </c>
      <c r="Y23" s="5">
        <v>0</v>
      </c>
      <c r="Z23" s="6">
        <f t="shared" si="2"/>
        <v>1147.8899999999999</v>
      </c>
      <c r="AA23" s="5">
        <v>0</v>
      </c>
      <c r="AB23" s="19"/>
      <c r="AC23" s="5"/>
    </row>
    <row r="24" spans="1:29" x14ac:dyDescent="0.3">
      <c r="A24" s="18" t="s">
        <v>72</v>
      </c>
      <c r="B24" s="25" t="s">
        <v>73</v>
      </c>
      <c r="C24" s="5">
        <v>1051.82</v>
      </c>
      <c r="D24" s="5"/>
      <c r="E24" s="5"/>
      <c r="F24" s="5"/>
      <c r="G24" s="5"/>
      <c r="H24" s="5"/>
      <c r="I24" s="5"/>
      <c r="J24" s="5"/>
      <c r="K24" s="5">
        <v>96.07</v>
      </c>
      <c r="L24" s="6">
        <f t="shared" si="0"/>
        <v>1147.8899999999999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>
        <f t="shared" si="1"/>
        <v>0</v>
      </c>
      <c r="Y24" s="5">
        <v>0</v>
      </c>
      <c r="Z24" s="6">
        <f t="shared" si="2"/>
        <v>1147.8899999999999</v>
      </c>
      <c r="AA24" s="5">
        <v>0</v>
      </c>
      <c r="AB24" s="19"/>
      <c r="AC24" s="5"/>
    </row>
    <row r="25" spans="1:29" x14ac:dyDescent="0.3">
      <c r="A25" s="17" t="s">
        <v>74</v>
      </c>
      <c r="B25" s="25" t="s">
        <v>75</v>
      </c>
      <c r="C25" s="5">
        <v>3577.79</v>
      </c>
      <c r="D25" s="5"/>
      <c r="E25" s="5"/>
      <c r="F25" s="5"/>
      <c r="G25" s="5"/>
      <c r="H25" s="5">
        <f>3577.79+12.86+2.55-1788.9</f>
        <v>1804.3000000000002</v>
      </c>
      <c r="I25" s="5"/>
      <c r="J25" s="5"/>
      <c r="K25" s="5"/>
      <c r="L25" s="6">
        <f t="shared" si="0"/>
        <v>5382.09</v>
      </c>
      <c r="M25" s="5">
        <v>338.33</v>
      </c>
      <c r="N25" s="5">
        <v>102.68</v>
      </c>
      <c r="O25" s="5">
        <v>340.18</v>
      </c>
      <c r="P25" s="5">
        <v>104.71</v>
      </c>
      <c r="Q25" s="5"/>
      <c r="R25" s="5">
        <f>114.37+25.96</f>
        <v>140.33000000000001</v>
      </c>
      <c r="S25" s="5"/>
      <c r="U25" s="5"/>
      <c r="V25" s="5"/>
      <c r="W25" s="5">
        <v>51.06</v>
      </c>
      <c r="X25" s="6">
        <f t="shared" si="1"/>
        <v>1077.29</v>
      </c>
      <c r="Y25" s="5">
        <v>0</v>
      </c>
      <c r="Z25" s="6">
        <f t="shared" si="2"/>
        <v>4304.8</v>
      </c>
      <c r="AA25" s="5">
        <v>430.36320000000001</v>
      </c>
      <c r="AB25" s="19"/>
      <c r="AC25" s="5">
        <v>1021.12</v>
      </c>
    </row>
    <row r="26" spans="1:29" s="10" customFormat="1" x14ac:dyDescent="0.3">
      <c r="A26" s="17" t="s">
        <v>76</v>
      </c>
      <c r="B26" s="25" t="s">
        <v>75</v>
      </c>
      <c r="C26" s="5">
        <v>3577.79</v>
      </c>
      <c r="D26" s="5"/>
      <c r="E26" s="5"/>
      <c r="F26" s="5"/>
      <c r="G26" s="5"/>
      <c r="H26" s="5">
        <f>3577.79+6.15+58.39+12.19-1788.9</f>
        <v>1865.62</v>
      </c>
      <c r="I26" s="5"/>
      <c r="J26" s="5"/>
      <c r="K26" s="5"/>
      <c r="L26" s="6">
        <f t="shared" si="0"/>
        <v>5443.41</v>
      </c>
      <c r="M26" s="5">
        <v>338.33</v>
      </c>
      <c r="N26" s="5">
        <v>131.12</v>
      </c>
      <c r="O26" s="5">
        <v>347.8</v>
      </c>
      <c r="P26" s="5">
        <v>141.21</v>
      </c>
      <c r="Q26" s="5"/>
      <c r="R26" s="5"/>
      <c r="S26" s="5"/>
      <c r="T26" s="5"/>
      <c r="U26" s="5"/>
      <c r="V26" s="5"/>
      <c r="W26" s="5">
        <v>51.06</v>
      </c>
      <c r="X26" s="6">
        <f t="shared" si="1"/>
        <v>1009.52</v>
      </c>
      <c r="Y26" s="5">
        <v>0</v>
      </c>
      <c r="Z26" s="6">
        <f t="shared" si="2"/>
        <v>4433.8899999999994</v>
      </c>
      <c r="AA26" s="5">
        <v>434.49760000000003</v>
      </c>
      <c r="AB26" s="19"/>
      <c r="AC26" s="5">
        <v>1021.12</v>
      </c>
    </row>
    <row r="27" spans="1:29" s="10" customFormat="1" x14ac:dyDescent="0.3">
      <c r="A27" s="17" t="s">
        <v>77</v>
      </c>
      <c r="B27" s="25" t="s">
        <v>73</v>
      </c>
      <c r="C27" s="5">
        <v>1051.82</v>
      </c>
      <c r="D27" s="5"/>
      <c r="E27" s="5"/>
      <c r="F27" s="5"/>
      <c r="G27" s="5"/>
      <c r="H27" s="5"/>
      <c r="I27" s="5"/>
      <c r="J27" s="5"/>
      <c r="K27" s="5">
        <v>96.07</v>
      </c>
      <c r="L27" s="6">
        <f t="shared" si="0"/>
        <v>1147.8899999999999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>
        <f t="shared" si="1"/>
        <v>0</v>
      </c>
      <c r="Y27" s="5">
        <v>0</v>
      </c>
      <c r="Z27" s="6">
        <f t="shared" si="2"/>
        <v>1147.8899999999999</v>
      </c>
      <c r="AA27" s="5">
        <v>0</v>
      </c>
      <c r="AB27" s="19"/>
      <c r="AC27" s="5"/>
    </row>
    <row r="28" spans="1:29" s="10" customFormat="1" x14ac:dyDescent="0.3">
      <c r="A28" s="17" t="s">
        <v>115</v>
      </c>
      <c r="B28" s="25" t="s">
        <v>71</v>
      </c>
      <c r="C28" s="5">
        <v>1051.82</v>
      </c>
      <c r="D28" s="5"/>
      <c r="E28" s="5"/>
      <c r="F28" s="5"/>
      <c r="G28" s="5"/>
      <c r="H28" s="5"/>
      <c r="I28" s="5"/>
      <c r="J28" s="5"/>
      <c r="K28" s="5">
        <v>96.07</v>
      </c>
      <c r="L28" s="6">
        <f t="shared" si="0"/>
        <v>1147.8899999999999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>
        <f t="shared" si="1"/>
        <v>0</v>
      </c>
      <c r="Y28" s="5"/>
      <c r="Z28" s="6">
        <f t="shared" si="2"/>
        <v>1147.8899999999999</v>
      </c>
      <c r="AA28" s="5">
        <v>0</v>
      </c>
      <c r="AB28" s="19"/>
      <c r="AC28" s="5"/>
    </row>
    <row r="29" spans="1:29" x14ac:dyDescent="0.3">
      <c r="A29" s="17" t="s">
        <v>78</v>
      </c>
      <c r="B29" s="25" t="s">
        <v>79</v>
      </c>
      <c r="C29" s="5">
        <v>14494.51</v>
      </c>
      <c r="D29" s="5"/>
      <c r="E29" s="5"/>
      <c r="F29" s="5"/>
      <c r="G29" s="5"/>
      <c r="H29" s="5">
        <f>14494.51-7247.25</f>
        <v>7247.26</v>
      </c>
      <c r="I29" s="5"/>
      <c r="J29" s="5"/>
      <c r="K29" s="5"/>
      <c r="L29" s="6">
        <f t="shared" si="0"/>
        <v>21741.77</v>
      </c>
      <c r="M29" s="5">
        <v>828.38</v>
      </c>
      <c r="N29" s="5">
        <v>2888.83</v>
      </c>
      <c r="O29" s="5">
        <v>828.38</v>
      </c>
      <c r="P29" s="5">
        <v>2888.83</v>
      </c>
      <c r="Q29" s="5"/>
      <c r="R29" s="5">
        <v>103.84</v>
      </c>
      <c r="S29" s="5"/>
      <c r="T29" s="5"/>
      <c r="U29" s="5"/>
      <c r="V29" s="5"/>
      <c r="W29" s="5">
        <v>51.06</v>
      </c>
      <c r="X29" s="6">
        <f t="shared" si="1"/>
        <v>7589.3200000000006</v>
      </c>
      <c r="Y29" s="5">
        <v>0</v>
      </c>
      <c r="Z29" s="6">
        <f t="shared" si="2"/>
        <v>14152.45</v>
      </c>
      <c r="AA29" s="5">
        <v>1739.3416</v>
      </c>
      <c r="AB29" s="19"/>
      <c r="AC29" s="5">
        <v>1021.12</v>
      </c>
    </row>
    <row r="30" spans="1:29" s="10" customFormat="1" x14ac:dyDescent="0.3">
      <c r="A30" s="17" t="s">
        <v>80</v>
      </c>
      <c r="B30" s="25" t="s">
        <v>81</v>
      </c>
      <c r="C30" s="5">
        <v>12137.36</v>
      </c>
      <c r="D30" s="5"/>
      <c r="E30" s="5"/>
      <c r="F30" s="5"/>
      <c r="G30" s="5"/>
      <c r="H30" s="5">
        <f>12137.36+32.04+5.34-6068.68</f>
        <v>6106.0600000000013</v>
      </c>
      <c r="I30" s="5"/>
      <c r="J30" s="5">
        <v>1131.23</v>
      </c>
      <c r="K30" s="5">
        <v>437.87</v>
      </c>
      <c r="L30" s="6">
        <f t="shared" si="0"/>
        <v>19812.52</v>
      </c>
      <c r="M30" s="5">
        <v>828.38</v>
      </c>
      <c r="N30" s="5">
        <v>2188.4699999999998</v>
      </c>
      <c r="O30" s="5">
        <v>828.38</v>
      </c>
      <c r="P30" s="5">
        <v>2198.75</v>
      </c>
      <c r="Q30" s="5"/>
      <c r="R30" s="5">
        <f>68.61+162.47</f>
        <v>231.07999999999998</v>
      </c>
      <c r="S30" s="5"/>
      <c r="T30" s="5"/>
      <c r="U30" s="5"/>
      <c r="V30" s="5"/>
      <c r="W30" s="5">
        <v>51.06</v>
      </c>
      <c r="X30" s="6">
        <f t="shared" si="1"/>
        <v>6326.12</v>
      </c>
      <c r="Y30" s="5">
        <v>0</v>
      </c>
      <c r="Z30" s="6">
        <f t="shared" si="2"/>
        <v>13486.400000000001</v>
      </c>
      <c r="AA30" s="5">
        <v>1459.0463999999999</v>
      </c>
      <c r="AB30" s="19"/>
      <c r="AC30" s="5">
        <v>1021.12</v>
      </c>
    </row>
    <row r="31" spans="1:29" s="10" customFormat="1" x14ac:dyDescent="0.3">
      <c r="A31" s="17" t="s">
        <v>82</v>
      </c>
      <c r="B31" s="25" t="s">
        <v>83</v>
      </c>
      <c r="C31" s="5">
        <v>11159.96</v>
      </c>
      <c r="D31" s="5"/>
      <c r="E31" s="5"/>
      <c r="F31" s="5"/>
      <c r="G31" s="5"/>
      <c r="H31" s="5">
        <f>9299.97-4649.98</f>
        <v>4649.99</v>
      </c>
      <c r="I31" s="5"/>
      <c r="J31" s="5"/>
      <c r="K31" s="5"/>
      <c r="L31" s="6">
        <f t="shared" si="0"/>
        <v>15809.949999999999</v>
      </c>
      <c r="M31" s="5">
        <v>828.38</v>
      </c>
      <c r="N31" s="5">
        <v>1971.82</v>
      </c>
      <c r="O31" s="5">
        <v>828.38</v>
      </c>
      <c r="P31" s="5">
        <v>1460.33</v>
      </c>
      <c r="Q31" s="5"/>
      <c r="R31" s="5">
        <f>109.44+729.58</f>
        <v>839.02</v>
      </c>
      <c r="S31" s="5"/>
      <c r="T31" s="5"/>
      <c r="U31" s="5"/>
      <c r="V31" s="5"/>
      <c r="W31" s="5">
        <v>51.06</v>
      </c>
      <c r="X31" s="6">
        <f t="shared" si="1"/>
        <v>5978.9900000000007</v>
      </c>
      <c r="Y31" s="5">
        <v>0</v>
      </c>
      <c r="Z31" s="6">
        <f t="shared" si="2"/>
        <v>9830.9599999999991</v>
      </c>
      <c r="AA31" s="5">
        <v>1264.7959999999998</v>
      </c>
      <c r="AB31" s="19"/>
      <c r="AC31" s="5">
        <v>1021.12</v>
      </c>
    </row>
    <row r="32" spans="1:29" s="10" customFormat="1" x14ac:dyDescent="0.3">
      <c r="A32" s="17" t="s">
        <v>84</v>
      </c>
      <c r="B32" s="26" t="s">
        <v>85</v>
      </c>
      <c r="C32" s="5">
        <v>12627.71</v>
      </c>
      <c r="D32" s="5"/>
      <c r="E32" s="5"/>
      <c r="F32" s="5"/>
      <c r="G32" s="5"/>
      <c r="H32" s="5">
        <f>12627.71-6313.86</f>
        <v>6313.8499999999995</v>
      </c>
      <c r="I32" s="5"/>
      <c r="J32" s="5"/>
      <c r="K32" s="5"/>
      <c r="L32" s="6">
        <f t="shared" si="0"/>
        <v>18941.559999999998</v>
      </c>
      <c r="M32" s="5">
        <v>828.38</v>
      </c>
      <c r="N32" s="5">
        <v>2375.46</v>
      </c>
      <c r="O32" s="5">
        <v>828.38</v>
      </c>
      <c r="P32" s="5">
        <v>2375.46</v>
      </c>
      <c r="Q32" s="5"/>
      <c r="R32" s="5">
        <v>77.77</v>
      </c>
      <c r="S32" s="5"/>
      <c r="T32" s="5"/>
      <c r="U32" s="5"/>
      <c r="V32" s="5"/>
      <c r="W32" s="5">
        <v>51.06</v>
      </c>
      <c r="X32" s="6">
        <f t="shared" si="1"/>
        <v>6536.5100000000011</v>
      </c>
      <c r="Y32" s="5">
        <v>0</v>
      </c>
      <c r="Z32" s="6">
        <f t="shared" si="2"/>
        <v>12405.049999999996</v>
      </c>
      <c r="AA32" s="5">
        <v>1515.3248000000001</v>
      </c>
      <c r="AB32" s="19"/>
      <c r="AC32" s="5">
        <v>1021.12</v>
      </c>
    </row>
    <row r="33" spans="1:29" s="4" customFormat="1" x14ac:dyDescent="0.3">
      <c r="A33" s="17" t="s">
        <v>86</v>
      </c>
      <c r="B33" s="25" t="s">
        <v>87</v>
      </c>
      <c r="C33" s="5">
        <v>12880.26</v>
      </c>
      <c r="D33" s="5"/>
      <c r="E33" s="5"/>
      <c r="F33" s="5"/>
      <c r="G33" s="5"/>
      <c r="H33" s="5">
        <f>12880.26+95.73-6440.13</f>
        <v>6535.86</v>
      </c>
      <c r="I33" s="5"/>
      <c r="J33" s="5">
        <v>985.27</v>
      </c>
      <c r="K33" s="5"/>
      <c r="L33" s="6">
        <f t="shared" si="0"/>
        <v>20401.39</v>
      </c>
      <c r="M33" s="5">
        <v>828.38</v>
      </c>
      <c r="N33" s="5">
        <v>2444.91</v>
      </c>
      <c r="O33" s="5">
        <v>828.38</v>
      </c>
      <c r="P33" s="5">
        <v>2471.23</v>
      </c>
      <c r="Q33" s="5"/>
      <c r="R33" s="5">
        <v>58.32</v>
      </c>
      <c r="S33" s="5"/>
      <c r="T33" s="5"/>
      <c r="U33" s="5"/>
      <c r="V33" s="5"/>
      <c r="W33" s="5">
        <v>51.06</v>
      </c>
      <c r="X33" s="6">
        <f t="shared" si="1"/>
        <v>6682.28</v>
      </c>
      <c r="Y33" s="5">
        <v>0</v>
      </c>
      <c r="Z33" s="6">
        <f t="shared" si="2"/>
        <v>13719.11</v>
      </c>
      <c r="AA33" s="5">
        <v>1553.2896000000001</v>
      </c>
      <c r="AB33" s="19"/>
      <c r="AC33" s="5">
        <v>1021.12</v>
      </c>
    </row>
    <row r="34" spans="1:29" s="4" customFormat="1" x14ac:dyDescent="0.3">
      <c r="A34" s="17" t="s">
        <v>88</v>
      </c>
      <c r="B34" s="25" t="s">
        <v>89</v>
      </c>
      <c r="C34" s="5">
        <v>12137.36</v>
      </c>
      <c r="D34" s="5"/>
      <c r="E34" s="5"/>
      <c r="F34" s="5"/>
      <c r="G34" s="5"/>
      <c r="H34" s="5">
        <f>12137.36+11.03+80.96+13.63-6068.68</f>
        <v>6174.2999999999993</v>
      </c>
      <c r="I34" s="5"/>
      <c r="J34" s="5"/>
      <c r="K34" s="5">
        <v>437.87</v>
      </c>
      <c r="L34" s="6">
        <f t="shared" si="0"/>
        <v>18749.53</v>
      </c>
      <c r="M34" s="5">
        <v>828.38</v>
      </c>
      <c r="N34" s="5">
        <v>2188.4699999999998</v>
      </c>
      <c r="O34" s="5">
        <v>828.38</v>
      </c>
      <c r="P34" s="5">
        <v>2217.52</v>
      </c>
      <c r="Q34" s="5"/>
      <c r="R34" s="5"/>
      <c r="S34" s="5"/>
      <c r="T34" s="5"/>
      <c r="U34" s="5"/>
      <c r="V34" s="5"/>
      <c r="W34" s="5">
        <v>51.06</v>
      </c>
      <c r="X34" s="6">
        <f t="shared" si="1"/>
        <v>6113.81</v>
      </c>
      <c r="Y34" s="5">
        <v>0</v>
      </c>
      <c r="Z34" s="6">
        <f t="shared" si="2"/>
        <v>12635.719999999998</v>
      </c>
      <c r="AA34" s="5">
        <v>1463.8424</v>
      </c>
      <c r="AB34" s="19"/>
      <c r="AC34" s="5">
        <v>1021.12</v>
      </c>
    </row>
    <row r="35" spans="1:29" x14ac:dyDescent="0.3">
      <c r="A35" s="17" t="s">
        <v>90</v>
      </c>
      <c r="B35" s="25" t="s">
        <v>91</v>
      </c>
      <c r="C35" s="5">
        <v>4191.95</v>
      </c>
      <c r="D35" s="5"/>
      <c r="E35" s="5"/>
      <c r="F35" s="5">
        <f>112.13+22.43+39.3</f>
        <v>173.86</v>
      </c>
      <c r="G35" s="5"/>
      <c r="H35" s="5">
        <f>4191.95+6.43+40.95+9.35-2095.98</f>
        <v>2152.7000000000003</v>
      </c>
      <c r="I35" s="5"/>
      <c r="J35" s="5"/>
      <c r="K35" s="5"/>
      <c r="L35" s="6">
        <f t="shared" si="0"/>
        <v>6518.51</v>
      </c>
      <c r="M35" s="5">
        <v>447.38</v>
      </c>
      <c r="N35" s="5">
        <v>245.52</v>
      </c>
      <c r="O35" s="5">
        <v>430.99</v>
      </c>
      <c r="P35" s="5">
        <v>222.85</v>
      </c>
      <c r="Q35" s="5"/>
      <c r="R35" s="5">
        <v>22.87</v>
      </c>
      <c r="S35" s="5"/>
      <c r="T35" s="5"/>
      <c r="U35" s="5"/>
      <c r="V35" s="5"/>
      <c r="W35" s="5">
        <v>51.06</v>
      </c>
      <c r="X35" s="6">
        <f t="shared" si="1"/>
        <v>1420.6699999999996</v>
      </c>
      <c r="Y35" s="5">
        <v>0</v>
      </c>
      <c r="Z35" s="6">
        <f t="shared" si="2"/>
        <v>5097.84</v>
      </c>
      <c r="AA35" s="5">
        <v>520.7328</v>
      </c>
      <c r="AB35" s="19"/>
      <c r="AC35" s="5">
        <v>1021.12</v>
      </c>
    </row>
    <row r="36" spans="1:29" x14ac:dyDescent="0.3">
      <c r="A36" s="17" t="s">
        <v>92</v>
      </c>
      <c r="B36" s="25" t="s">
        <v>93</v>
      </c>
      <c r="C36" s="5">
        <v>6635.01</v>
      </c>
      <c r="D36" s="5"/>
      <c r="E36" s="5"/>
      <c r="F36" s="5"/>
      <c r="G36" s="5"/>
      <c r="H36" s="5">
        <f>6635.01+432.65-3317.51</f>
        <v>3750.1499999999996</v>
      </c>
      <c r="I36" s="5"/>
      <c r="J36" s="5"/>
      <c r="K36" s="5"/>
      <c r="L36" s="6">
        <f t="shared" si="0"/>
        <v>10385.16</v>
      </c>
      <c r="M36" s="5">
        <v>765.07</v>
      </c>
      <c r="N36" s="5">
        <v>744.87</v>
      </c>
      <c r="O36" s="5">
        <v>825.64</v>
      </c>
      <c r="P36" s="5">
        <v>847.2</v>
      </c>
      <c r="Q36" s="5"/>
      <c r="R36" s="5"/>
      <c r="S36" s="5"/>
      <c r="T36" s="5"/>
      <c r="U36" s="5"/>
      <c r="V36" s="5"/>
      <c r="W36" s="5">
        <v>51.06</v>
      </c>
      <c r="X36" s="6">
        <f t="shared" si="1"/>
        <v>3233.8399999999997</v>
      </c>
      <c r="Y36" s="5">
        <v>0</v>
      </c>
      <c r="Z36" s="6">
        <f t="shared" si="2"/>
        <v>7151.32</v>
      </c>
      <c r="AA36" s="5">
        <v>830.81279999999992</v>
      </c>
      <c r="AB36" s="19"/>
      <c r="AC36" s="5">
        <v>1021.12</v>
      </c>
    </row>
    <row r="37" spans="1:29" s="10" customFormat="1" x14ac:dyDescent="0.3">
      <c r="A37" s="17" t="s">
        <v>94</v>
      </c>
      <c r="B37" s="25" t="s">
        <v>95</v>
      </c>
      <c r="C37" s="5">
        <v>14494.51</v>
      </c>
      <c r="D37" s="5"/>
      <c r="E37" s="5"/>
      <c r="F37" s="5"/>
      <c r="G37" s="5"/>
      <c r="H37" s="5">
        <f>10870.88-5435.44</f>
        <v>5435.44</v>
      </c>
      <c r="I37" s="5"/>
      <c r="J37" s="5"/>
      <c r="K37" s="5">
        <v>49.9</v>
      </c>
      <c r="L37" s="6">
        <f t="shared" si="0"/>
        <v>19979.850000000002</v>
      </c>
      <c r="M37" s="5">
        <v>828.38</v>
      </c>
      <c r="N37" s="5">
        <v>2888.83</v>
      </c>
      <c r="O37" s="5">
        <v>828.38</v>
      </c>
      <c r="P37" s="5">
        <v>1892.33</v>
      </c>
      <c r="Q37" s="5"/>
      <c r="R37" s="5"/>
      <c r="S37" s="5"/>
      <c r="T37" s="5"/>
      <c r="U37" s="5"/>
      <c r="V37" s="5"/>
      <c r="W37" s="5">
        <v>51.06</v>
      </c>
      <c r="X37" s="6">
        <f t="shared" si="1"/>
        <v>6488.9800000000005</v>
      </c>
      <c r="Y37" s="5">
        <v>0</v>
      </c>
      <c r="Z37" s="6">
        <f t="shared" si="2"/>
        <v>13490.870000000003</v>
      </c>
      <c r="AA37" s="5">
        <v>1594.396</v>
      </c>
      <c r="AB37" s="19"/>
      <c r="AC37" s="5">
        <v>1021.12</v>
      </c>
    </row>
    <row r="38" spans="1:29" x14ac:dyDescent="0.3">
      <c r="A38" s="17" t="s">
        <v>96</v>
      </c>
      <c r="B38" s="25" t="s">
        <v>97</v>
      </c>
      <c r="C38" s="5">
        <v>12078.76</v>
      </c>
      <c r="D38" s="5"/>
      <c r="E38" s="5"/>
      <c r="F38" s="5"/>
      <c r="G38" s="5">
        <v>3221</v>
      </c>
      <c r="H38" s="5">
        <f>14494.51-7247.25</f>
        <v>7247.26</v>
      </c>
      <c r="I38" s="5"/>
      <c r="J38" s="5"/>
      <c r="K38" s="5"/>
      <c r="L38" s="6">
        <f t="shared" si="0"/>
        <v>22547.02</v>
      </c>
      <c r="M38" s="22">
        <f>295.51+532.87</f>
        <v>828.38</v>
      </c>
      <c r="N38" s="5">
        <f>84.02+2305.76</f>
        <v>2389.7800000000002</v>
      </c>
      <c r="O38" s="22">
        <f>295.51+532.87</f>
        <v>828.38</v>
      </c>
      <c r="P38" s="5">
        <v>2888.83</v>
      </c>
      <c r="Q38" s="5"/>
      <c r="R38" s="5"/>
      <c r="S38" s="5"/>
      <c r="T38" s="5"/>
      <c r="U38" s="5">
        <v>2841.47</v>
      </c>
      <c r="V38" s="5"/>
      <c r="W38" s="5">
        <v>51.06</v>
      </c>
      <c r="X38" s="6">
        <f t="shared" si="1"/>
        <v>9827.9</v>
      </c>
      <c r="Y38" s="5">
        <v>0</v>
      </c>
      <c r="Z38" s="6">
        <f t="shared" si="2"/>
        <v>12719.12</v>
      </c>
      <c r="AA38" s="5">
        <v>1803.7616</v>
      </c>
      <c r="AB38" s="19"/>
      <c r="AC38" s="5">
        <v>1021.12</v>
      </c>
    </row>
    <row r="39" spans="1:29" x14ac:dyDescent="0.3">
      <c r="A39" s="17" t="s">
        <v>113</v>
      </c>
      <c r="B39" s="25" t="s">
        <v>114</v>
      </c>
      <c r="C39" s="5">
        <v>2534.94</v>
      </c>
      <c r="D39" s="5"/>
      <c r="E39" s="5"/>
      <c r="F39" s="5"/>
      <c r="G39" s="5"/>
      <c r="H39" s="5"/>
      <c r="I39" s="5"/>
      <c r="J39" s="5"/>
      <c r="K39" s="5"/>
      <c r="L39" s="6">
        <f t="shared" si="0"/>
        <v>2534.94</v>
      </c>
      <c r="M39" s="22">
        <v>213.19</v>
      </c>
      <c r="N39" s="5">
        <v>31.33</v>
      </c>
      <c r="O39" s="22"/>
      <c r="P39" s="5"/>
      <c r="Q39" s="5"/>
      <c r="R39" s="5"/>
      <c r="S39" s="5"/>
      <c r="T39" s="5"/>
      <c r="U39" s="5"/>
      <c r="V39" s="5"/>
      <c r="W39" s="5">
        <v>21.41</v>
      </c>
      <c r="X39" s="6">
        <f t="shared" si="1"/>
        <v>265.93</v>
      </c>
      <c r="Y39" s="5"/>
      <c r="Z39" s="6">
        <f t="shared" si="2"/>
        <v>2269.0100000000002</v>
      </c>
      <c r="AA39" s="5">
        <v>202.79519999999999</v>
      </c>
      <c r="AB39" s="19"/>
      <c r="AC39" s="5">
        <v>1021.12</v>
      </c>
    </row>
    <row r="40" spans="1:29" x14ac:dyDescent="0.3">
      <c r="A40" s="17" t="s">
        <v>98</v>
      </c>
      <c r="B40" s="25" t="s">
        <v>99</v>
      </c>
      <c r="C40" s="5">
        <v>3950.17</v>
      </c>
      <c r="D40" s="5">
        <v>1185.05</v>
      </c>
      <c r="E40" s="5"/>
      <c r="F40" s="5"/>
      <c r="G40" s="5"/>
      <c r="H40" s="5">
        <f>3950.17+1185.05+9.63+11.15+5.06-2567.62</f>
        <v>2593.4400000000005</v>
      </c>
      <c r="I40" s="5"/>
      <c r="J40" s="5"/>
      <c r="K40" s="5"/>
      <c r="L40" s="6">
        <f t="shared" si="0"/>
        <v>7728.6600000000008</v>
      </c>
      <c r="M40" s="5">
        <v>555.1</v>
      </c>
      <c r="N40" s="5">
        <v>394.4</v>
      </c>
      <c r="O40" s="5">
        <v>558.72</v>
      </c>
      <c r="P40" s="5">
        <v>399.4</v>
      </c>
      <c r="Q40" s="5"/>
      <c r="R40" s="5">
        <f>45.74</f>
        <v>45.74</v>
      </c>
      <c r="S40" s="5"/>
      <c r="T40" s="5"/>
      <c r="U40" s="5"/>
      <c r="V40" s="5">
        <v>39.5</v>
      </c>
      <c r="W40" s="5">
        <v>51.06</v>
      </c>
      <c r="X40" s="6">
        <f t="shared" si="1"/>
        <v>2043.9199999999998</v>
      </c>
      <c r="Y40" s="5">
        <v>0</v>
      </c>
      <c r="Z40" s="6">
        <f t="shared" si="2"/>
        <v>5684.7400000000007</v>
      </c>
      <c r="AA40" s="5">
        <v>617.88800000000003</v>
      </c>
      <c r="AB40" s="19">
        <v>140.16</v>
      </c>
      <c r="AC40" s="5">
        <v>428.21</v>
      </c>
    </row>
    <row r="41" spans="1:29" s="10" customFormat="1" x14ac:dyDescent="0.3">
      <c r="A41" s="17" t="s">
        <v>100</v>
      </c>
      <c r="B41" s="25" t="s">
        <v>101</v>
      </c>
      <c r="C41" s="5">
        <v>6099.81</v>
      </c>
      <c r="D41" s="5"/>
      <c r="E41" s="5"/>
      <c r="F41" s="5">
        <f>45.75+1009.52+156.34</f>
        <v>1211.6099999999999</v>
      </c>
      <c r="G41" s="5"/>
      <c r="H41" s="5">
        <f>6099.81+18.46+382.59+81.15-3049.91</f>
        <v>3532.1000000000004</v>
      </c>
      <c r="I41" s="5"/>
      <c r="J41" s="5"/>
      <c r="K41" s="5"/>
      <c r="L41" s="6">
        <f t="shared" si="0"/>
        <v>10843.52</v>
      </c>
      <c r="M41" s="5">
        <v>828.38</v>
      </c>
      <c r="N41" s="5">
        <v>913.48</v>
      </c>
      <c r="O41" s="5">
        <v>757.65</v>
      </c>
      <c r="P41" s="5">
        <v>732.34</v>
      </c>
      <c r="Q41" s="5"/>
      <c r="R41" s="5">
        <v>45.74</v>
      </c>
      <c r="S41" s="5"/>
      <c r="T41" s="5"/>
      <c r="U41" s="5"/>
      <c r="V41" s="5"/>
      <c r="W41" s="5">
        <v>51.06</v>
      </c>
      <c r="X41" s="6">
        <f t="shared" si="1"/>
        <v>3328.65</v>
      </c>
      <c r="Y41" s="5">
        <v>0</v>
      </c>
      <c r="Z41" s="6">
        <f t="shared" si="2"/>
        <v>7514.8700000000008</v>
      </c>
      <c r="AA41" s="5">
        <v>860.9896</v>
      </c>
      <c r="AB41" s="19"/>
      <c r="AC41" s="5">
        <v>1021.12</v>
      </c>
    </row>
    <row r="42" spans="1:29" s="10" customFormat="1" x14ac:dyDescent="0.3">
      <c r="A42" s="17" t="s">
        <v>102</v>
      </c>
      <c r="B42" s="25" t="s">
        <v>103</v>
      </c>
      <c r="C42" s="5"/>
      <c r="D42" s="5"/>
      <c r="E42" s="5"/>
      <c r="F42" s="5"/>
      <c r="G42" s="5"/>
      <c r="H42" s="5">
        <f>2916.51-1458.26</f>
        <v>1458.2500000000002</v>
      </c>
      <c r="I42" s="5"/>
      <c r="J42" s="5"/>
      <c r="K42" s="5">
        <v>1451.46</v>
      </c>
      <c r="L42" s="6">
        <f t="shared" si="0"/>
        <v>2909.71</v>
      </c>
      <c r="M42" s="5"/>
      <c r="N42" s="5"/>
      <c r="O42" s="5">
        <v>258.97000000000003</v>
      </c>
      <c r="P42" s="5">
        <v>42.3</v>
      </c>
      <c r="Q42" s="5">
        <v>25</v>
      </c>
      <c r="R42" s="5">
        <f>77.88+114.37+457.42</f>
        <v>649.67000000000007</v>
      </c>
      <c r="S42" s="5"/>
      <c r="T42" s="5"/>
      <c r="U42" s="5">
        <v>725.73</v>
      </c>
      <c r="V42" s="5"/>
      <c r="W42" s="5">
        <v>51.06</v>
      </c>
      <c r="X42" s="6">
        <f t="shared" si="1"/>
        <v>1752.73</v>
      </c>
      <c r="Y42" s="5">
        <v>0</v>
      </c>
      <c r="Z42" s="6">
        <f t="shared" si="2"/>
        <v>1156.98</v>
      </c>
      <c r="AA42" s="5">
        <v>116.66</v>
      </c>
      <c r="AB42" s="19"/>
      <c r="AC42" s="5">
        <v>1021.12</v>
      </c>
    </row>
    <row r="43" spans="1:29" x14ac:dyDescent="0.3">
      <c r="A43" s="17" t="s">
        <v>104</v>
      </c>
      <c r="B43" s="25" t="s">
        <v>105</v>
      </c>
      <c r="C43" s="5">
        <v>1051.82</v>
      </c>
      <c r="D43" s="5"/>
      <c r="E43" s="5"/>
      <c r="F43" s="5"/>
      <c r="G43" s="5"/>
      <c r="H43" s="5"/>
      <c r="I43" s="5"/>
      <c r="J43" s="5"/>
      <c r="K43" s="5">
        <f>79.9+96.07</f>
        <v>175.97</v>
      </c>
      <c r="L43" s="6">
        <f t="shared" si="0"/>
        <v>1227.79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6">
        <f t="shared" si="1"/>
        <v>0</v>
      </c>
      <c r="Y43" s="5">
        <v>0</v>
      </c>
      <c r="Z43" s="6">
        <f t="shared" si="2"/>
        <v>1227.79</v>
      </c>
      <c r="AA43" s="5">
        <v>0</v>
      </c>
      <c r="AB43" s="19"/>
      <c r="AC43" s="5"/>
    </row>
    <row r="44" spans="1:29" s="10" customFormat="1" x14ac:dyDescent="0.3">
      <c r="A44" s="17" t="s">
        <v>106</v>
      </c>
      <c r="B44" s="25" t="s">
        <v>107</v>
      </c>
      <c r="C44" s="5">
        <v>1051.82</v>
      </c>
      <c r="D44" s="5"/>
      <c r="E44" s="5"/>
      <c r="F44" s="5"/>
      <c r="G44" s="5"/>
      <c r="H44" s="5"/>
      <c r="I44" s="5"/>
      <c r="J44" s="5"/>
      <c r="K44" s="5">
        <v>96.07</v>
      </c>
      <c r="L44" s="6">
        <f t="shared" si="0"/>
        <v>1147.8899999999999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>
        <f t="shared" si="1"/>
        <v>0</v>
      </c>
      <c r="Y44" s="5">
        <v>0</v>
      </c>
      <c r="Z44" s="6">
        <f t="shared" si="2"/>
        <v>1147.8899999999999</v>
      </c>
      <c r="AA44" s="5">
        <v>0</v>
      </c>
      <c r="AB44" s="19"/>
      <c r="AC44" s="5"/>
    </row>
    <row r="45" spans="1:29" s="10" customFormat="1" x14ac:dyDescent="0.3">
      <c r="A45" s="17" t="s">
        <v>108</v>
      </c>
      <c r="B45" s="25" t="s">
        <v>109</v>
      </c>
      <c r="C45" s="5">
        <v>3577.79</v>
      </c>
      <c r="D45" s="5"/>
      <c r="E45" s="5"/>
      <c r="F45" s="5"/>
      <c r="G45" s="5"/>
      <c r="H45" s="5">
        <f>3577.79+11.55+1.83-1753.82</f>
        <v>1837.3500000000001</v>
      </c>
      <c r="I45" s="5"/>
      <c r="J45" s="5"/>
      <c r="K45" s="5"/>
      <c r="L45" s="6">
        <f t="shared" si="0"/>
        <v>5415.14</v>
      </c>
      <c r="M45" s="5">
        <v>338.33</v>
      </c>
      <c r="N45" s="5">
        <v>131.12</v>
      </c>
      <c r="O45" s="5">
        <v>339.93</v>
      </c>
      <c r="P45" s="5">
        <v>132.88999999999999</v>
      </c>
      <c r="Q45" s="5"/>
      <c r="R45" s="5">
        <v>16.579999999999998</v>
      </c>
      <c r="S45" s="5"/>
      <c r="T45" s="5"/>
      <c r="U45" s="5"/>
      <c r="V45" s="5">
        <v>35.08</v>
      </c>
      <c r="W45" s="5">
        <v>51.06</v>
      </c>
      <c r="X45" s="6">
        <f t="shared" si="1"/>
        <v>1044.99</v>
      </c>
      <c r="Y45" s="5">
        <v>0</v>
      </c>
      <c r="Z45" s="6">
        <f t="shared" si="2"/>
        <v>4370.1500000000005</v>
      </c>
      <c r="AA45" s="5">
        <v>433.06479999999999</v>
      </c>
      <c r="AB45" s="19">
        <v>171.6</v>
      </c>
      <c r="AC45" s="5">
        <v>1021.12</v>
      </c>
    </row>
    <row r="46" spans="1:29" s="10" customFormat="1" x14ac:dyDescent="0.3">
      <c r="A46" s="17" t="s">
        <v>110</v>
      </c>
      <c r="B46" s="25" t="s">
        <v>111</v>
      </c>
      <c r="C46" s="5">
        <v>4628.26</v>
      </c>
      <c r="D46" s="5"/>
      <c r="E46" s="5"/>
      <c r="F46" s="5"/>
      <c r="G46" s="5"/>
      <c r="H46" s="5">
        <f>4628.26-2314.13</f>
        <v>2314.13</v>
      </c>
      <c r="I46" s="5"/>
      <c r="J46" s="5"/>
      <c r="K46" s="5"/>
      <c r="L46" s="6">
        <f t="shared" si="0"/>
        <v>6942.39</v>
      </c>
      <c r="M46" s="5">
        <v>484.13</v>
      </c>
      <c r="N46" s="5">
        <v>296.3</v>
      </c>
      <c r="O46" s="5">
        <v>484.13</v>
      </c>
      <c r="P46" s="5">
        <v>296.3</v>
      </c>
      <c r="Q46" s="5"/>
      <c r="R46" s="5">
        <v>19.440000000000001</v>
      </c>
      <c r="S46" s="5"/>
      <c r="T46" s="5"/>
      <c r="U46" s="5"/>
      <c r="V46" s="5"/>
      <c r="W46" s="5">
        <v>51.06</v>
      </c>
      <c r="X46" s="6">
        <f>SUM(M46:W46)</f>
        <v>1631.36</v>
      </c>
      <c r="Y46" s="5">
        <v>0</v>
      </c>
      <c r="Z46" s="6">
        <f t="shared" si="2"/>
        <v>5311.0300000000007</v>
      </c>
      <c r="AA46" s="5">
        <v>555.39120000000003</v>
      </c>
      <c r="AB46" s="19"/>
      <c r="AC46" s="5">
        <v>1021.12</v>
      </c>
    </row>
    <row r="47" spans="1:29" s="10" customFormat="1" x14ac:dyDescent="0.3">
      <c r="A47" s="17"/>
      <c r="B47" s="25"/>
      <c r="C47" s="5"/>
      <c r="D47" s="5"/>
      <c r="E47" s="5"/>
      <c r="F47" s="5"/>
      <c r="G47" s="5"/>
      <c r="H47" s="5"/>
      <c r="I47" s="5"/>
      <c r="J47" s="5"/>
      <c r="K47" s="5"/>
      <c r="L47" s="6">
        <f t="shared" si="0"/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6">
        <f t="shared" si="1"/>
        <v>0</v>
      </c>
      <c r="Y47" s="5">
        <v>0</v>
      </c>
      <c r="Z47" s="6">
        <f t="shared" si="2"/>
        <v>0</v>
      </c>
      <c r="AA47" s="5"/>
      <c r="AB47" s="19"/>
      <c r="AC47" s="5"/>
    </row>
    <row r="48" spans="1:29" x14ac:dyDescent="0.3">
      <c r="A48" s="17"/>
      <c r="B48" s="25"/>
      <c r="C48" s="5"/>
      <c r="D48" s="5"/>
      <c r="E48" s="5"/>
      <c r="F48" s="5"/>
      <c r="G48" s="5"/>
      <c r="H48" s="5"/>
      <c r="I48" s="5"/>
      <c r="J48" s="5"/>
      <c r="K48" s="5"/>
      <c r="L48" s="6">
        <f t="shared" si="0"/>
        <v>0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6">
        <f t="shared" si="1"/>
        <v>0</v>
      </c>
      <c r="Y48" s="5">
        <v>0</v>
      </c>
      <c r="Z48" s="6">
        <f t="shared" si="2"/>
        <v>0</v>
      </c>
      <c r="AA48" s="5"/>
      <c r="AB48" s="19"/>
      <c r="AC48" s="5"/>
    </row>
    <row r="49" spans="1:29" s="12" customFormat="1" x14ac:dyDescent="0.3">
      <c r="A49" s="11" t="s">
        <v>29</v>
      </c>
      <c r="B49" s="27"/>
      <c r="C49" s="6">
        <f>SUM(C4:C48)</f>
        <v>295001.85000000003</v>
      </c>
      <c r="D49" s="6">
        <f t="shared" ref="D49:AC49" si="3">SUM(D4:D48)</f>
        <v>4656.5600000000004</v>
      </c>
      <c r="E49" s="6">
        <f t="shared" si="3"/>
        <v>0</v>
      </c>
      <c r="F49" s="6">
        <f t="shared" si="3"/>
        <v>2795.1899999999996</v>
      </c>
      <c r="G49" s="6">
        <f t="shared" si="3"/>
        <v>6427.174</v>
      </c>
      <c r="H49" s="6">
        <f t="shared" si="3"/>
        <v>145766.59000000003</v>
      </c>
      <c r="I49" s="6">
        <f t="shared" si="3"/>
        <v>0</v>
      </c>
      <c r="J49" s="6">
        <f t="shared" si="3"/>
        <v>2116.5</v>
      </c>
      <c r="K49" s="6">
        <f t="shared" si="3"/>
        <v>5470.14</v>
      </c>
      <c r="L49" s="6">
        <f t="shared" si="3"/>
        <v>462234.00400000013</v>
      </c>
      <c r="M49" s="6">
        <f t="shared" si="3"/>
        <v>21907.399999999998</v>
      </c>
      <c r="N49" s="6">
        <f t="shared" si="3"/>
        <v>47682.840000000004</v>
      </c>
      <c r="O49" s="6">
        <f t="shared" ref="O49:P49" si="4">SUM(O4:O48)</f>
        <v>21792.670000000002</v>
      </c>
      <c r="P49" s="6">
        <f t="shared" si="4"/>
        <v>45912.01</v>
      </c>
      <c r="Q49" s="6">
        <f t="shared" si="3"/>
        <v>25</v>
      </c>
      <c r="R49" s="6">
        <f t="shared" si="3"/>
        <v>8035.66</v>
      </c>
      <c r="S49" s="6">
        <f t="shared" si="3"/>
        <v>0</v>
      </c>
      <c r="T49" s="6">
        <f t="shared" si="3"/>
        <v>0</v>
      </c>
      <c r="U49" s="6">
        <f t="shared" si="3"/>
        <v>6466.99</v>
      </c>
      <c r="V49" s="6">
        <f t="shared" si="3"/>
        <v>351.3</v>
      </c>
      <c r="W49" s="6">
        <f t="shared" si="3"/>
        <v>1706.389999999999</v>
      </c>
      <c r="X49" s="6">
        <f t="shared" si="3"/>
        <v>153880.25999999998</v>
      </c>
      <c r="Y49" s="6">
        <f t="shared" si="3"/>
        <v>0</v>
      </c>
      <c r="Z49" s="6">
        <f t="shared" si="3"/>
        <v>308353.74400000006</v>
      </c>
      <c r="AA49" s="6">
        <f t="shared" si="3"/>
        <v>35595.64</v>
      </c>
      <c r="AB49" s="6">
        <f t="shared" si="3"/>
        <v>784.8</v>
      </c>
      <c r="AC49" s="6">
        <f t="shared" si="3"/>
        <v>34125.169999999991</v>
      </c>
    </row>
    <row r="50" spans="1:29" x14ac:dyDescent="0.3">
      <c r="A50" s="1" t="s">
        <v>112</v>
      </c>
    </row>
    <row r="51" spans="1:29" x14ac:dyDescent="0.3">
      <c r="A51" s="1" t="s">
        <v>119</v>
      </c>
    </row>
    <row r="53" spans="1:29" x14ac:dyDescent="0.3">
      <c r="X53" s="15"/>
    </row>
  </sheetData>
  <mergeCells count="32">
    <mergeCell ref="AB2:AB3"/>
    <mergeCell ref="AC2:AC3"/>
    <mergeCell ref="AA2:AA3"/>
    <mergeCell ref="AA1:AC1"/>
    <mergeCell ref="M1:X1"/>
    <mergeCell ref="Y1:Z1"/>
    <mergeCell ref="X2:X3"/>
    <mergeCell ref="Z2:Z3"/>
    <mergeCell ref="Y2:Y3"/>
    <mergeCell ref="U2:U3"/>
    <mergeCell ref="V2:W2"/>
    <mergeCell ref="T2:T3"/>
    <mergeCell ref="S2:S3"/>
    <mergeCell ref="M2:M3"/>
    <mergeCell ref="N2:N3"/>
    <mergeCell ref="Q2:Q3"/>
    <mergeCell ref="R2:R3"/>
    <mergeCell ref="B1:B3"/>
    <mergeCell ref="A1:A3"/>
    <mergeCell ref="C2:C3"/>
    <mergeCell ref="E2:E3"/>
    <mergeCell ref="F2:F3"/>
    <mergeCell ref="D2:D3"/>
    <mergeCell ref="C1:L1"/>
    <mergeCell ref="J2:J3"/>
    <mergeCell ref="L2:L3"/>
    <mergeCell ref="K2:K3"/>
    <mergeCell ref="G2:G3"/>
    <mergeCell ref="I2:I3"/>
    <mergeCell ref="H2:H3"/>
    <mergeCell ref="O2:O3"/>
    <mergeCell ref="P2:P3"/>
  </mergeCells>
  <pageMargins left="0.23622047244094491" right="0.23622047244094491" top="1.1417322834645669" bottom="0.19685039370078741" header="0.31496062992125984" footer="0.31496062992125984"/>
  <pageSetup paperSize="9" scale="86" fitToWidth="0" orientation="landscape" r:id="rId1"/>
  <headerFooter>
    <oddHeader>&amp;L&amp;G&amp;RDEMONSTRATIVO DETALHADO DA FOLHA DE PAGAMENTO
DEZEMBRO/2022</oddHead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Folha 122022</vt:lpstr>
      <vt:lpstr>'Folha 122022'!Area_de_impressao</vt:lpstr>
      <vt:lpstr>'Folha 122022'!Dias_úteis</vt:lpstr>
      <vt:lpstr>'Folha 122022'!Titulos_de_impressao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Helen Germann Patricio</cp:lastModifiedBy>
  <cp:lastPrinted>2023-01-13T17:23:59Z</cp:lastPrinted>
  <dcterms:created xsi:type="dcterms:W3CDTF">2016-01-08T13:50:30Z</dcterms:created>
  <dcterms:modified xsi:type="dcterms:W3CDTF">2023-01-13T17:24:01Z</dcterms:modified>
</cp:coreProperties>
</file>